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425"/>
  <workbookPr/>
  <mc:AlternateContent xmlns:mc="http://schemas.openxmlformats.org/markup-compatibility/2006">
    <mc:Choice Requires="x15">
      <x15ac:absPath xmlns:x15ac="http://schemas.microsoft.com/office/spreadsheetml/2010/11/ac" url="D:\1000. GENIOSPRO 2024\01. HOJAS EXCEL DE CONCRETO ARMADO 2024\"/>
    </mc:Choice>
  </mc:AlternateContent>
  <xr:revisionPtr revIDLastSave="0" documentId="13_ncr:1_{C25C38D1-E265-4D13-B837-02376A177464}" xr6:coauthVersionLast="47" xr6:coauthVersionMax="47" xr10:uidLastSave="{00000000-0000-0000-0000-000000000000}"/>
  <bookViews>
    <workbookView xWindow="-108" yWindow="-108" windowWidth="23256" windowHeight="12456" firstSheet="1" activeTab="3" xr2:uid="{00000000-000D-0000-FFFF-FFFF00000000}"/>
  </bookViews>
  <sheets>
    <sheet name="DIAGRAM DE INTERACCIÓN 2" sheetId="8" r:id="rId1"/>
    <sheet name="DIAGRAM DE INTERACCIÓN 3" sheetId="7" r:id="rId2"/>
    <sheet name="DIAGRAM DE INTERACCIÓN 4" sheetId="6" r:id="rId3"/>
    <sheet name="DIAGRAM DE INTERACCIÓN 5" sheetId="1" r:id="rId4"/>
    <sheet name="TEORIA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3" i="7" l="1"/>
  <c r="C13" i="8"/>
  <c r="B41" i="8"/>
  <c r="G41" i="8" s="1"/>
  <c r="J41" i="8" s="1"/>
  <c r="O11" i="7"/>
  <c r="P11" i="7"/>
  <c r="R11" i="7"/>
  <c r="S11" i="7"/>
  <c r="Q76" i="8"/>
  <c r="Q40" i="8"/>
  <c r="M20" i="8"/>
  <c r="L20" i="8"/>
  <c r="M19" i="8"/>
  <c r="I30" i="8" s="1"/>
  <c r="S11" i="8"/>
  <c r="R11" i="8"/>
  <c r="P11" i="8"/>
  <c r="C18" i="8" s="1"/>
  <c r="O11" i="8"/>
  <c r="S10" i="8"/>
  <c r="P10" i="8"/>
  <c r="S9" i="8"/>
  <c r="R9" i="8"/>
  <c r="P9" i="8"/>
  <c r="C17" i="8" s="1"/>
  <c r="C28" i="8" s="1"/>
  <c r="O9" i="8"/>
  <c r="S8" i="8"/>
  <c r="P8" i="8"/>
  <c r="U79" i="7"/>
  <c r="B44" i="7"/>
  <c r="U43" i="7"/>
  <c r="M20" i="7"/>
  <c r="L20" i="7"/>
  <c r="M19" i="7"/>
  <c r="I30" i="7" s="1"/>
  <c r="S13" i="7"/>
  <c r="R13" i="7"/>
  <c r="P13" i="7"/>
  <c r="O13" i="7"/>
  <c r="S12" i="7"/>
  <c r="P12" i="7"/>
  <c r="S10" i="7"/>
  <c r="P10" i="7"/>
  <c r="S9" i="7"/>
  <c r="R9" i="7"/>
  <c r="P9" i="7"/>
  <c r="O9" i="7"/>
  <c r="S8" i="7"/>
  <c r="P8" i="7"/>
  <c r="N24" i="7" s="1"/>
  <c r="Y81" i="6"/>
  <c r="B46" i="6"/>
  <c r="B47" i="6" s="1"/>
  <c r="Y45" i="6"/>
  <c r="M20" i="6"/>
  <c r="L20" i="6"/>
  <c r="M19" i="6"/>
  <c r="I30" i="6" s="1"/>
  <c r="S13" i="6"/>
  <c r="R13" i="6"/>
  <c r="P13" i="6"/>
  <c r="O13" i="6"/>
  <c r="S12" i="6"/>
  <c r="P12" i="6"/>
  <c r="N32" i="6" s="1"/>
  <c r="S11" i="6"/>
  <c r="R11" i="6"/>
  <c r="P11" i="6"/>
  <c r="O11" i="6"/>
  <c r="C13" i="6"/>
  <c r="S10" i="6"/>
  <c r="P10" i="6"/>
  <c r="S9" i="6"/>
  <c r="R9" i="6"/>
  <c r="P9" i="6"/>
  <c r="O9" i="6"/>
  <c r="S8" i="6"/>
  <c r="P8" i="6"/>
  <c r="S7" i="6"/>
  <c r="R7" i="6"/>
  <c r="P7" i="6"/>
  <c r="O7" i="6"/>
  <c r="S6" i="6"/>
  <c r="P6" i="6"/>
  <c r="B42" i="8" l="1"/>
  <c r="C24" i="7"/>
  <c r="D31" i="7" s="1"/>
  <c r="C23" i="7"/>
  <c r="C31" i="7" s="1"/>
  <c r="C44" i="7" s="1"/>
  <c r="F44" i="7" s="1"/>
  <c r="I44" i="7"/>
  <c r="C22" i="8"/>
  <c r="C29" i="8" s="1"/>
  <c r="N24" i="6"/>
  <c r="C23" i="8"/>
  <c r="D29" i="8" s="1"/>
  <c r="C18" i="6"/>
  <c r="D32" i="6" s="1"/>
  <c r="N26" i="6"/>
  <c r="N30" i="6"/>
  <c r="C19" i="6"/>
  <c r="E32" i="6" s="1"/>
  <c r="C17" i="6"/>
  <c r="C32" i="6" s="1"/>
  <c r="C20" i="6"/>
  <c r="F32" i="6" s="1"/>
  <c r="C26" i="6"/>
  <c r="E33" i="6" s="1"/>
  <c r="C24" i="6"/>
  <c r="C33" i="6" s="1"/>
  <c r="C27" i="6"/>
  <c r="F33" i="6" s="1"/>
  <c r="K46" i="6"/>
  <c r="P46" i="6" s="1"/>
  <c r="C25" i="6"/>
  <c r="D33" i="6" s="1"/>
  <c r="C17" i="7"/>
  <c r="C30" i="7" s="1"/>
  <c r="C19" i="7"/>
  <c r="E30" i="7" s="1"/>
  <c r="C18" i="7"/>
  <c r="D30" i="7" s="1"/>
  <c r="C25" i="7"/>
  <c r="E31" i="7" s="1"/>
  <c r="N28" i="7"/>
  <c r="N24" i="8"/>
  <c r="D28" i="8"/>
  <c r="O76" i="8" s="1"/>
  <c r="N32" i="8"/>
  <c r="B43" i="8"/>
  <c r="G42" i="8"/>
  <c r="J42" i="8" s="1"/>
  <c r="N32" i="7"/>
  <c r="B45" i="7"/>
  <c r="B48" i="6"/>
  <c r="K47" i="6"/>
  <c r="P47" i="6" s="1"/>
  <c r="AC85" i="1"/>
  <c r="C13" i="1"/>
  <c r="L20" i="1"/>
  <c r="M20" i="1"/>
  <c r="M19" i="1"/>
  <c r="I30" i="1" s="1"/>
  <c r="S15" i="1"/>
  <c r="R15" i="1"/>
  <c r="P15" i="1"/>
  <c r="O15" i="1"/>
  <c r="R13" i="1"/>
  <c r="S13" i="1"/>
  <c r="S11" i="1"/>
  <c r="R11" i="1"/>
  <c r="S9" i="1"/>
  <c r="R9" i="1"/>
  <c r="S7" i="1"/>
  <c r="R7" i="1"/>
  <c r="P13" i="1"/>
  <c r="O13" i="1"/>
  <c r="P11" i="1"/>
  <c r="O11" i="1"/>
  <c r="P9" i="1"/>
  <c r="O9" i="1"/>
  <c r="P7" i="1"/>
  <c r="O7" i="1"/>
  <c r="S14" i="1"/>
  <c r="S12" i="1"/>
  <c r="S10" i="1"/>
  <c r="S8" i="1"/>
  <c r="S6" i="1"/>
  <c r="P14" i="1"/>
  <c r="P12" i="1"/>
  <c r="P10" i="1"/>
  <c r="P8" i="1"/>
  <c r="P6" i="1"/>
  <c r="C17" i="1" l="1"/>
  <c r="C35" i="1" s="1"/>
  <c r="E44" i="7"/>
  <c r="H44" i="7" s="1"/>
  <c r="L44" i="7" s="1"/>
  <c r="M44" i="7"/>
  <c r="Q44" i="7" s="1"/>
  <c r="J44" i="7"/>
  <c r="D44" i="7"/>
  <c r="G44" i="7" s="1"/>
  <c r="K44" i="7" s="1"/>
  <c r="D41" i="8"/>
  <c r="F41" i="8" s="1"/>
  <c r="I41" i="8" s="1"/>
  <c r="L41" i="8" s="1"/>
  <c r="C41" i="8"/>
  <c r="O40" i="8"/>
  <c r="C30" i="1"/>
  <c r="C26" i="1"/>
  <c r="C36" i="1" s="1"/>
  <c r="F46" i="6"/>
  <c r="F47" i="6"/>
  <c r="F48" i="6"/>
  <c r="W81" i="6"/>
  <c r="W45" i="6"/>
  <c r="C41" i="6"/>
  <c r="D48" i="6"/>
  <c r="H48" i="6" s="1"/>
  <c r="D46" i="6"/>
  <c r="H46" i="6" s="1"/>
  <c r="M46" i="6" s="1"/>
  <c r="D47" i="6"/>
  <c r="H47" i="6" s="1"/>
  <c r="M47" i="6" s="1"/>
  <c r="C47" i="6"/>
  <c r="G47" i="6" s="1"/>
  <c r="L47" i="6" s="1"/>
  <c r="C48" i="6"/>
  <c r="G48" i="6" s="1"/>
  <c r="L48" i="6" s="1"/>
  <c r="E47" i="6"/>
  <c r="I47" i="6" s="1"/>
  <c r="N47" i="6" s="1"/>
  <c r="E48" i="6"/>
  <c r="I48" i="6" s="1"/>
  <c r="E46" i="6"/>
  <c r="I46" i="6" s="1"/>
  <c r="N46" i="6" s="1"/>
  <c r="E45" i="7"/>
  <c r="S79" i="7"/>
  <c r="S43" i="7"/>
  <c r="V43" i="7" s="1"/>
  <c r="D45" i="7"/>
  <c r="G45" i="7" s="1"/>
  <c r="K45" i="7" s="1"/>
  <c r="Z81" i="6"/>
  <c r="Z45" i="6"/>
  <c r="V79" i="7"/>
  <c r="C45" i="7"/>
  <c r="F45" i="7" s="1"/>
  <c r="J45" i="7" s="1"/>
  <c r="C39" i="7"/>
  <c r="D43" i="8"/>
  <c r="P43" i="8" s="1"/>
  <c r="D42" i="8"/>
  <c r="P42" i="8" s="1"/>
  <c r="C36" i="8"/>
  <c r="C43" i="8"/>
  <c r="E43" i="8" s="1"/>
  <c r="E41" i="8"/>
  <c r="H41" i="8" s="1"/>
  <c r="K41" i="8" s="1"/>
  <c r="C42" i="8"/>
  <c r="R76" i="8"/>
  <c r="R40" i="8"/>
  <c r="E42" i="8"/>
  <c r="H42" i="8" s="1"/>
  <c r="G43" i="8"/>
  <c r="B44" i="8"/>
  <c r="D44" i="8" s="1"/>
  <c r="P44" i="8" s="1"/>
  <c r="B46" i="7"/>
  <c r="D46" i="7" s="1"/>
  <c r="I45" i="7"/>
  <c r="C46" i="6"/>
  <c r="G46" i="6" s="1"/>
  <c r="L46" i="6" s="1"/>
  <c r="U46" i="6"/>
  <c r="K48" i="6"/>
  <c r="N48" i="6" s="1"/>
  <c r="B49" i="6"/>
  <c r="F49" i="6" s="1"/>
  <c r="G36" i="1"/>
  <c r="C29" i="1"/>
  <c r="F36" i="1" s="1"/>
  <c r="C28" i="1"/>
  <c r="E36" i="1" s="1"/>
  <c r="C27" i="1"/>
  <c r="D36" i="1" s="1"/>
  <c r="N24" i="1"/>
  <c r="N32" i="1"/>
  <c r="N26" i="1"/>
  <c r="N28" i="1"/>
  <c r="N30" i="1"/>
  <c r="C20" i="1"/>
  <c r="F35" i="1" s="1"/>
  <c r="C18" i="1"/>
  <c r="D35" i="1" s="1"/>
  <c r="C19" i="1"/>
  <c r="E35" i="1" s="1"/>
  <c r="C21" i="1"/>
  <c r="G35" i="1" s="1"/>
  <c r="M48" i="6" l="1"/>
  <c r="R48" i="6" s="1"/>
  <c r="C50" i="1"/>
  <c r="H50" i="1" s="1"/>
  <c r="P41" i="8"/>
  <c r="E49" i="6"/>
  <c r="I49" i="6" s="1"/>
  <c r="D50" i="1"/>
  <c r="C49" i="6"/>
  <c r="G49" i="6" s="1"/>
  <c r="L49" i="6" s="1"/>
  <c r="D49" i="6"/>
  <c r="H49" i="6" s="1"/>
  <c r="E46" i="7"/>
  <c r="H46" i="7" s="1"/>
  <c r="C46" i="7"/>
  <c r="F43" i="8"/>
  <c r="I43" i="8" s="1"/>
  <c r="C44" i="8"/>
  <c r="E44" i="8" s="1"/>
  <c r="J49" i="6"/>
  <c r="X49" i="6"/>
  <c r="J46" i="6"/>
  <c r="O46" i="6" s="1"/>
  <c r="W46" i="6" s="1"/>
  <c r="Z46" i="6" s="1"/>
  <c r="X46" i="6"/>
  <c r="J48" i="6"/>
  <c r="O48" i="6" s="1"/>
  <c r="X48" i="6"/>
  <c r="J47" i="6"/>
  <c r="O47" i="6" s="1"/>
  <c r="W47" i="6" s="1"/>
  <c r="X47" i="6"/>
  <c r="N45" i="7"/>
  <c r="P44" i="7"/>
  <c r="T44" i="7"/>
  <c r="T45" i="7"/>
  <c r="H45" i="7"/>
  <c r="L45" i="7" s="1"/>
  <c r="O45" i="7"/>
  <c r="P45" i="7"/>
  <c r="O44" i="7"/>
  <c r="R47" i="6"/>
  <c r="U47" i="6"/>
  <c r="R46" i="6"/>
  <c r="F46" i="7"/>
  <c r="F42" i="8"/>
  <c r="I42" i="8" s="1"/>
  <c r="L42" i="8" s="1"/>
  <c r="L43" i="8"/>
  <c r="F44" i="8"/>
  <c r="M41" i="8"/>
  <c r="M42" i="8"/>
  <c r="O41" i="8"/>
  <c r="G44" i="8"/>
  <c r="B45" i="8"/>
  <c r="J43" i="8"/>
  <c r="M43" i="8" s="1"/>
  <c r="K42" i="8"/>
  <c r="H43" i="8"/>
  <c r="N44" i="7"/>
  <c r="I46" i="7"/>
  <c r="B47" i="7"/>
  <c r="G46" i="7"/>
  <c r="M45" i="7"/>
  <c r="Q45" i="7" s="1"/>
  <c r="Q46" i="6"/>
  <c r="P48" i="6"/>
  <c r="U48" i="6" s="1"/>
  <c r="S48" i="6"/>
  <c r="Q47" i="6"/>
  <c r="S47" i="6"/>
  <c r="B50" i="6"/>
  <c r="K49" i="6"/>
  <c r="N49" i="6" s="1"/>
  <c r="T48" i="6"/>
  <c r="S46" i="6"/>
  <c r="C44" i="1"/>
  <c r="AA85" i="1"/>
  <c r="AD85" i="1" s="1"/>
  <c r="AA49" i="1"/>
  <c r="B50" i="1"/>
  <c r="M50" i="1" s="1"/>
  <c r="S50" i="1" s="1"/>
  <c r="T46" i="7" l="1"/>
  <c r="T46" i="6"/>
  <c r="V46" i="6" s="1"/>
  <c r="Y46" i="6" s="1"/>
  <c r="O49" i="6"/>
  <c r="D50" i="6"/>
  <c r="H50" i="6" s="1"/>
  <c r="E50" i="6"/>
  <c r="I50" i="6" s="1"/>
  <c r="N50" i="6" s="1"/>
  <c r="F50" i="6"/>
  <c r="C50" i="6"/>
  <c r="G50" i="6" s="1"/>
  <c r="T47" i="6"/>
  <c r="V47" i="6" s="1"/>
  <c r="Y47" i="6" s="1"/>
  <c r="R41" i="8"/>
  <c r="M49" i="6"/>
  <c r="J46" i="7"/>
  <c r="N46" i="7" s="1"/>
  <c r="K46" i="7"/>
  <c r="O46" i="7" s="1"/>
  <c r="D47" i="7"/>
  <c r="E47" i="7"/>
  <c r="L46" i="7"/>
  <c r="P46" i="7" s="1"/>
  <c r="D45" i="8"/>
  <c r="P45" i="8" s="1"/>
  <c r="C45" i="8"/>
  <c r="O42" i="8"/>
  <c r="R42" i="8" s="1"/>
  <c r="I44" i="8"/>
  <c r="L44" i="8" s="1"/>
  <c r="S44" i="7"/>
  <c r="V44" i="7" s="1"/>
  <c r="Z47" i="6"/>
  <c r="C47" i="7"/>
  <c r="F47" i="7" s="1"/>
  <c r="N42" i="8"/>
  <c r="Q42" i="8" s="1"/>
  <c r="B46" i="8"/>
  <c r="G45" i="8"/>
  <c r="E45" i="8"/>
  <c r="J44" i="8"/>
  <c r="M44" i="8" s="1"/>
  <c r="H44" i="8"/>
  <c r="K43" i="8"/>
  <c r="N43" i="8" s="1"/>
  <c r="Q43" i="8" s="1"/>
  <c r="O43" i="8"/>
  <c r="R43" i="8" s="1"/>
  <c r="N41" i="8"/>
  <c r="Q41" i="8" s="1"/>
  <c r="R44" i="7"/>
  <c r="U44" i="7" s="1"/>
  <c r="M46" i="7"/>
  <c r="Q46" i="7" s="1"/>
  <c r="S45" i="7"/>
  <c r="V45" i="7" s="1"/>
  <c r="B48" i="7"/>
  <c r="I47" i="7"/>
  <c r="G47" i="7"/>
  <c r="R45" i="7"/>
  <c r="U45" i="7" s="1"/>
  <c r="P49" i="6"/>
  <c r="U49" i="6" s="1"/>
  <c r="S49" i="6"/>
  <c r="R49" i="6"/>
  <c r="T49" i="6"/>
  <c r="W48" i="6"/>
  <c r="Z48" i="6" s="1"/>
  <c r="Q48" i="6"/>
  <c r="V48" i="6" s="1"/>
  <c r="Y48" i="6" s="1"/>
  <c r="K50" i="6"/>
  <c r="B51" i="6"/>
  <c r="Y50" i="1"/>
  <c r="N50" i="1"/>
  <c r="E50" i="1"/>
  <c r="J50" i="1" s="1"/>
  <c r="P50" i="1" s="1"/>
  <c r="G50" i="1"/>
  <c r="I50" i="1"/>
  <c r="O50" i="1" s="1"/>
  <c r="F50" i="1"/>
  <c r="K50" i="1" s="1"/>
  <c r="Q50" i="1" s="1"/>
  <c r="B51" i="1"/>
  <c r="X50" i="6" l="1"/>
  <c r="J50" i="6"/>
  <c r="O50" i="6" s="1"/>
  <c r="E51" i="6"/>
  <c r="I51" i="6" s="1"/>
  <c r="D51" i="6"/>
  <c r="H51" i="6" s="1"/>
  <c r="C51" i="6"/>
  <c r="G51" i="6" s="1"/>
  <c r="L51" i="6" s="1"/>
  <c r="F51" i="6"/>
  <c r="L50" i="6"/>
  <c r="M50" i="6"/>
  <c r="E48" i="7"/>
  <c r="D48" i="7"/>
  <c r="J47" i="7"/>
  <c r="N47" i="7" s="1"/>
  <c r="T47" i="7"/>
  <c r="H47" i="7"/>
  <c r="L47" i="7" s="1"/>
  <c r="P47" i="7" s="1"/>
  <c r="K47" i="7"/>
  <c r="O47" i="7" s="1"/>
  <c r="C46" i="8"/>
  <c r="D46" i="8"/>
  <c r="P46" i="8" s="1"/>
  <c r="F45" i="8"/>
  <c r="I45" i="8" s="1"/>
  <c r="L45" i="8" s="1"/>
  <c r="C48" i="7"/>
  <c r="F48" i="7" s="1"/>
  <c r="J48" i="7" s="1"/>
  <c r="N48" i="7" s="1"/>
  <c r="K44" i="8"/>
  <c r="N44" i="8" s="1"/>
  <c r="Q44" i="8" s="1"/>
  <c r="O44" i="8"/>
  <c r="R44" i="8" s="1"/>
  <c r="J45" i="8"/>
  <c r="M45" i="8" s="1"/>
  <c r="H45" i="8"/>
  <c r="B47" i="8"/>
  <c r="G46" i="8"/>
  <c r="E46" i="8"/>
  <c r="M47" i="7"/>
  <c r="Q47" i="7" s="1"/>
  <c r="B49" i="7"/>
  <c r="I48" i="7"/>
  <c r="G48" i="7"/>
  <c r="K48" i="7" s="1"/>
  <c r="O48" i="7" s="1"/>
  <c r="S46" i="7"/>
  <c r="V46" i="7" s="1"/>
  <c r="R46" i="7"/>
  <c r="U46" i="7" s="1"/>
  <c r="W49" i="6"/>
  <c r="Z49" i="6" s="1"/>
  <c r="Q49" i="6"/>
  <c r="V49" i="6" s="1"/>
  <c r="Y49" i="6" s="1"/>
  <c r="P50" i="6"/>
  <c r="U50" i="6" s="1"/>
  <c r="S50" i="6"/>
  <c r="R50" i="6"/>
  <c r="T50" i="6"/>
  <c r="K51" i="6"/>
  <c r="N51" i="6" s="1"/>
  <c r="B52" i="6"/>
  <c r="L50" i="1"/>
  <c r="R50" i="1" s="1"/>
  <c r="X50" i="1" s="1"/>
  <c r="AB50" i="1"/>
  <c r="M51" i="1"/>
  <c r="F51" i="1"/>
  <c r="K51" i="1" s="1"/>
  <c r="D51" i="1"/>
  <c r="I51" i="1" s="1"/>
  <c r="G51" i="1"/>
  <c r="E51" i="1"/>
  <c r="J51" i="1" s="1"/>
  <c r="C51" i="1"/>
  <c r="H51" i="1" s="1"/>
  <c r="W50" i="1"/>
  <c r="B52" i="1"/>
  <c r="J51" i="6" l="1"/>
  <c r="O51" i="6" s="1"/>
  <c r="T51" i="6" s="1"/>
  <c r="X51" i="6"/>
  <c r="M51" i="6"/>
  <c r="R51" i="6" s="1"/>
  <c r="F46" i="8"/>
  <c r="I46" i="8" s="1"/>
  <c r="L46" i="8" s="1"/>
  <c r="E52" i="6"/>
  <c r="I52" i="6" s="1"/>
  <c r="N52" i="6" s="1"/>
  <c r="D52" i="6"/>
  <c r="H52" i="6" s="1"/>
  <c r="C52" i="6"/>
  <c r="G52" i="6" s="1"/>
  <c r="F52" i="6"/>
  <c r="E49" i="7"/>
  <c r="D49" i="7"/>
  <c r="H48" i="7"/>
  <c r="L48" i="7" s="1"/>
  <c r="P48" i="7" s="1"/>
  <c r="T48" i="7"/>
  <c r="D47" i="8"/>
  <c r="P47" i="8" s="1"/>
  <c r="C47" i="8"/>
  <c r="E47" i="8" s="1"/>
  <c r="C49" i="7"/>
  <c r="F49" i="7" s="1"/>
  <c r="J46" i="8"/>
  <c r="M46" i="8" s="1"/>
  <c r="H46" i="8"/>
  <c r="K45" i="8"/>
  <c r="N45" i="8" s="1"/>
  <c r="Q45" i="8" s="1"/>
  <c r="O45" i="8"/>
  <c r="R45" i="8" s="1"/>
  <c r="G47" i="8"/>
  <c r="B48" i="8"/>
  <c r="R47" i="7"/>
  <c r="U47" i="7" s="1"/>
  <c r="S47" i="7"/>
  <c r="V47" i="7" s="1"/>
  <c r="M48" i="7"/>
  <c r="Q48" i="7" s="1"/>
  <c r="I49" i="7"/>
  <c r="B50" i="7"/>
  <c r="G49" i="7"/>
  <c r="P51" i="6"/>
  <c r="U51" i="6" s="1"/>
  <c r="S51" i="6"/>
  <c r="B53" i="6"/>
  <c r="K52" i="6"/>
  <c r="W50" i="6"/>
  <c r="Z50" i="6" s="1"/>
  <c r="Q50" i="6"/>
  <c r="V50" i="6" s="1"/>
  <c r="Y50" i="6" s="1"/>
  <c r="L51" i="1"/>
  <c r="R51" i="1" s="1"/>
  <c r="X51" i="1" s="1"/>
  <c r="AB51" i="1"/>
  <c r="M52" i="1"/>
  <c r="D52" i="1"/>
  <c r="I52" i="1" s="1"/>
  <c r="G52" i="1"/>
  <c r="F52" i="1"/>
  <c r="K52" i="1" s="1"/>
  <c r="C52" i="1"/>
  <c r="H52" i="1" s="1"/>
  <c r="E52" i="1"/>
  <c r="J52" i="1" s="1"/>
  <c r="S51" i="1"/>
  <c r="Y51" i="1" s="1"/>
  <c r="N51" i="1"/>
  <c r="O51" i="1"/>
  <c r="U51" i="1" s="1"/>
  <c r="Q51" i="1"/>
  <c r="W51" i="1" s="1"/>
  <c r="P51" i="1"/>
  <c r="V51" i="1" s="1"/>
  <c r="U50" i="1"/>
  <c r="AD49" i="1"/>
  <c r="AC49" i="1"/>
  <c r="B53" i="1"/>
  <c r="B54" i="1" s="1"/>
  <c r="T50" i="1"/>
  <c r="V50" i="1"/>
  <c r="M52" i="6" l="1"/>
  <c r="F47" i="8"/>
  <c r="I47" i="8" s="1"/>
  <c r="L47" i="8" s="1"/>
  <c r="D53" i="6"/>
  <c r="H53" i="6" s="1"/>
  <c r="M53" i="6" s="1"/>
  <c r="F53" i="6"/>
  <c r="C53" i="6"/>
  <c r="G53" i="6" s="1"/>
  <c r="L53" i="6" s="1"/>
  <c r="E53" i="6"/>
  <c r="I53" i="6" s="1"/>
  <c r="X52" i="6"/>
  <c r="J52" i="6"/>
  <c r="O52" i="6" s="1"/>
  <c r="T52" i="6" s="1"/>
  <c r="L52" i="6"/>
  <c r="J49" i="7"/>
  <c r="N49" i="7" s="1"/>
  <c r="K49" i="7"/>
  <c r="O49" i="7" s="1"/>
  <c r="E50" i="7"/>
  <c r="D50" i="7"/>
  <c r="H49" i="7"/>
  <c r="L49" i="7" s="1"/>
  <c r="P49" i="7" s="1"/>
  <c r="T49" i="7"/>
  <c r="D48" i="8"/>
  <c r="P48" i="8" s="1"/>
  <c r="C48" i="8"/>
  <c r="E48" i="8" s="1"/>
  <c r="C50" i="7"/>
  <c r="F50" i="7" s="1"/>
  <c r="B49" i="8"/>
  <c r="G48" i="8"/>
  <c r="O46" i="8"/>
  <c r="R46" i="8" s="1"/>
  <c r="K46" i="8"/>
  <c r="N46" i="8" s="1"/>
  <c r="Q46" i="8" s="1"/>
  <c r="J47" i="8"/>
  <c r="M47" i="8" s="1"/>
  <c r="H47" i="8"/>
  <c r="I50" i="7"/>
  <c r="B51" i="7"/>
  <c r="G50" i="7"/>
  <c r="M49" i="7"/>
  <c r="Q49" i="7" s="1"/>
  <c r="S48" i="7"/>
  <c r="V48" i="7" s="1"/>
  <c r="R48" i="7"/>
  <c r="U48" i="7" s="1"/>
  <c r="B54" i="6"/>
  <c r="K53" i="6"/>
  <c r="P52" i="6"/>
  <c r="U52" i="6" s="1"/>
  <c r="S52" i="6"/>
  <c r="R52" i="6"/>
  <c r="Q51" i="6"/>
  <c r="V51" i="6" s="1"/>
  <c r="Y51" i="6" s="1"/>
  <c r="W51" i="6"/>
  <c r="Z51" i="6" s="1"/>
  <c r="L52" i="1"/>
  <c r="R52" i="1" s="1"/>
  <c r="X52" i="1" s="1"/>
  <c r="AB52" i="1"/>
  <c r="M54" i="1"/>
  <c r="E54" i="1"/>
  <c r="J54" i="1" s="1"/>
  <c r="G54" i="1"/>
  <c r="D54" i="1"/>
  <c r="I54" i="1" s="1"/>
  <c r="C54" i="1"/>
  <c r="H54" i="1" s="1"/>
  <c r="F54" i="1"/>
  <c r="K54" i="1" s="1"/>
  <c r="M53" i="1"/>
  <c r="D53" i="1"/>
  <c r="I53" i="1" s="1"/>
  <c r="C53" i="1"/>
  <c r="H53" i="1" s="1"/>
  <c r="E53" i="1"/>
  <c r="J53" i="1" s="1"/>
  <c r="F53" i="1"/>
  <c r="K53" i="1" s="1"/>
  <c r="G53" i="1"/>
  <c r="S52" i="1"/>
  <c r="Y52" i="1" s="1"/>
  <c r="P52" i="1"/>
  <c r="V52" i="1" s="1"/>
  <c r="Q52" i="1"/>
  <c r="W52" i="1" s="1"/>
  <c r="O52" i="1"/>
  <c r="U52" i="1" s="1"/>
  <c r="N52" i="1"/>
  <c r="T51" i="1"/>
  <c r="Z51" i="1" s="1"/>
  <c r="AC51" i="1" s="1"/>
  <c r="AA51" i="1"/>
  <c r="AD51" i="1" s="1"/>
  <c r="Z50" i="1"/>
  <c r="AC50" i="1" s="1"/>
  <c r="AA50" i="1"/>
  <c r="AD50" i="1" s="1"/>
  <c r="B55" i="1"/>
  <c r="N53" i="6" l="1"/>
  <c r="S53" i="6" s="1"/>
  <c r="F48" i="8"/>
  <c r="I48" i="8" s="1"/>
  <c r="L48" i="8" s="1"/>
  <c r="E54" i="6"/>
  <c r="I54" i="6" s="1"/>
  <c r="N54" i="6" s="1"/>
  <c r="F54" i="6"/>
  <c r="D54" i="6"/>
  <c r="H54" i="6" s="1"/>
  <c r="M54" i="6" s="1"/>
  <c r="C54" i="6"/>
  <c r="G54" i="6" s="1"/>
  <c r="X53" i="6"/>
  <c r="J53" i="6"/>
  <c r="O53" i="6" s="1"/>
  <c r="T53" i="6" s="1"/>
  <c r="J50" i="7"/>
  <c r="N50" i="7" s="1"/>
  <c r="K50" i="7"/>
  <c r="O50" i="7" s="1"/>
  <c r="E51" i="7"/>
  <c r="D51" i="7"/>
  <c r="G51" i="7" s="1"/>
  <c r="H50" i="7"/>
  <c r="L50" i="7" s="1"/>
  <c r="P50" i="7" s="1"/>
  <c r="T50" i="7"/>
  <c r="C49" i="8"/>
  <c r="E49" i="8" s="1"/>
  <c r="D49" i="8"/>
  <c r="P49" i="8" s="1"/>
  <c r="C51" i="7"/>
  <c r="F51" i="7" s="1"/>
  <c r="J48" i="8"/>
  <c r="M48" i="8" s="1"/>
  <c r="H48" i="8"/>
  <c r="G49" i="8"/>
  <c r="B50" i="8"/>
  <c r="K47" i="8"/>
  <c r="N47" i="8" s="1"/>
  <c r="Q47" i="8" s="1"/>
  <c r="O47" i="8"/>
  <c r="R47" i="8" s="1"/>
  <c r="R49" i="7"/>
  <c r="U49" i="7" s="1"/>
  <c r="S49" i="7"/>
  <c r="V49" i="7" s="1"/>
  <c r="B52" i="7"/>
  <c r="I51" i="7"/>
  <c r="M50" i="7"/>
  <c r="Q50" i="7" s="1"/>
  <c r="Q52" i="6"/>
  <c r="V52" i="6" s="1"/>
  <c r="Y52" i="6" s="1"/>
  <c r="W52" i="6"/>
  <c r="Z52" i="6" s="1"/>
  <c r="P53" i="6"/>
  <c r="U53" i="6" s="1"/>
  <c r="R53" i="6"/>
  <c r="K54" i="6"/>
  <c r="B55" i="6"/>
  <c r="L53" i="1"/>
  <c r="R53" i="1" s="1"/>
  <c r="X53" i="1" s="1"/>
  <c r="AB53" i="1"/>
  <c r="L54" i="1"/>
  <c r="R54" i="1" s="1"/>
  <c r="X54" i="1" s="1"/>
  <c r="AB54" i="1"/>
  <c r="M55" i="1"/>
  <c r="F55" i="1"/>
  <c r="K55" i="1" s="1"/>
  <c r="C55" i="1"/>
  <c r="H55" i="1" s="1"/>
  <c r="G55" i="1"/>
  <c r="E55" i="1"/>
  <c r="J55" i="1" s="1"/>
  <c r="D55" i="1"/>
  <c r="I55" i="1" s="1"/>
  <c r="S53" i="1"/>
  <c r="Y53" i="1" s="1"/>
  <c r="O53" i="1"/>
  <c r="U53" i="1" s="1"/>
  <c r="P53" i="1"/>
  <c r="V53" i="1" s="1"/>
  <c r="Q53" i="1"/>
  <c r="W53" i="1" s="1"/>
  <c r="N53" i="1"/>
  <c r="T53" i="1" s="1"/>
  <c r="S54" i="1"/>
  <c r="Y54" i="1" s="1"/>
  <c r="N54" i="1"/>
  <c r="P54" i="1"/>
  <c r="V54" i="1" s="1"/>
  <c r="O54" i="1"/>
  <c r="U54" i="1" s="1"/>
  <c r="Q54" i="1"/>
  <c r="W54" i="1" s="1"/>
  <c r="AA52" i="1"/>
  <c r="AD52" i="1" s="1"/>
  <c r="T52" i="1"/>
  <c r="Z52" i="1" s="1"/>
  <c r="AC52" i="1" s="1"/>
  <c r="B56" i="1"/>
  <c r="D55" i="6" l="1"/>
  <c r="H55" i="6" s="1"/>
  <c r="M55" i="6" s="1"/>
  <c r="E55" i="6"/>
  <c r="I55" i="6" s="1"/>
  <c r="F55" i="6"/>
  <c r="C55" i="6"/>
  <c r="G55" i="6" s="1"/>
  <c r="L55" i="6" s="1"/>
  <c r="J54" i="6"/>
  <c r="O54" i="6" s="1"/>
  <c r="T54" i="6" s="1"/>
  <c r="X54" i="6"/>
  <c r="L54" i="6"/>
  <c r="F49" i="8"/>
  <c r="I49" i="8" s="1"/>
  <c r="L49" i="8" s="1"/>
  <c r="J51" i="7"/>
  <c r="N51" i="7" s="1"/>
  <c r="D52" i="7"/>
  <c r="E52" i="7"/>
  <c r="K51" i="7"/>
  <c r="O51" i="7" s="1"/>
  <c r="H51" i="7"/>
  <c r="L51" i="7" s="1"/>
  <c r="P51" i="7" s="1"/>
  <c r="T51" i="7"/>
  <c r="D50" i="8"/>
  <c r="P50" i="8" s="1"/>
  <c r="C50" i="8"/>
  <c r="E50" i="8" s="1"/>
  <c r="C52" i="7"/>
  <c r="F52" i="7" s="1"/>
  <c r="B51" i="8"/>
  <c r="G50" i="8"/>
  <c r="J49" i="8"/>
  <c r="M49" i="8" s="1"/>
  <c r="H49" i="8"/>
  <c r="O48" i="8"/>
  <c r="R48" i="8" s="1"/>
  <c r="K48" i="8"/>
  <c r="N48" i="8" s="1"/>
  <c r="Q48" i="8" s="1"/>
  <c r="M51" i="7"/>
  <c r="Q51" i="7" s="1"/>
  <c r="B53" i="7"/>
  <c r="I52" i="7"/>
  <c r="G52" i="7"/>
  <c r="S50" i="7"/>
  <c r="V50" i="7" s="1"/>
  <c r="R50" i="7"/>
  <c r="U50" i="7" s="1"/>
  <c r="K55" i="6"/>
  <c r="B56" i="6"/>
  <c r="W53" i="6"/>
  <c r="Z53" i="6" s="1"/>
  <c r="Q53" i="6"/>
  <c r="V53" i="6" s="1"/>
  <c r="Y53" i="6" s="1"/>
  <c r="P54" i="6"/>
  <c r="U54" i="6" s="1"/>
  <c r="S54" i="6"/>
  <c r="R54" i="6"/>
  <c r="L55" i="1"/>
  <c r="AB55" i="1"/>
  <c r="M56" i="1"/>
  <c r="D56" i="1"/>
  <c r="I56" i="1" s="1"/>
  <c r="F56" i="1"/>
  <c r="K56" i="1" s="1"/>
  <c r="E56" i="1"/>
  <c r="J56" i="1" s="1"/>
  <c r="C56" i="1"/>
  <c r="H56" i="1" s="1"/>
  <c r="G56" i="1"/>
  <c r="S55" i="1"/>
  <c r="Y55" i="1" s="1"/>
  <c r="P55" i="1"/>
  <c r="V55" i="1" s="1"/>
  <c r="Q55" i="1"/>
  <c r="W55" i="1" s="1"/>
  <c r="O55" i="1"/>
  <c r="U55" i="1" s="1"/>
  <c r="N55" i="1"/>
  <c r="R55" i="1"/>
  <c r="X55" i="1" s="1"/>
  <c r="AA54" i="1"/>
  <c r="AD54" i="1" s="1"/>
  <c r="T54" i="1"/>
  <c r="Z54" i="1" s="1"/>
  <c r="AC54" i="1" s="1"/>
  <c r="Z53" i="1"/>
  <c r="AC53" i="1" s="1"/>
  <c r="AA53" i="1"/>
  <c r="AD53" i="1" s="1"/>
  <c r="B57" i="1"/>
  <c r="N55" i="6" l="1"/>
  <c r="F50" i="8"/>
  <c r="J55" i="6"/>
  <c r="O55" i="6" s="1"/>
  <c r="X55" i="6"/>
  <c r="C56" i="6"/>
  <c r="G56" i="6" s="1"/>
  <c r="L56" i="6" s="1"/>
  <c r="E56" i="6"/>
  <c r="I56" i="6" s="1"/>
  <c r="N56" i="6" s="1"/>
  <c r="F56" i="6"/>
  <c r="D56" i="6"/>
  <c r="H56" i="6" s="1"/>
  <c r="K52" i="7"/>
  <c r="O52" i="7" s="1"/>
  <c r="J52" i="7"/>
  <c r="N52" i="7" s="1"/>
  <c r="E53" i="7"/>
  <c r="D53" i="7"/>
  <c r="G53" i="7" s="1"/>
  <c r="H52" i="7"/>
  <c r="L52" i="7" s="1"/>
  <c r="P52" i="7" s="1"/>
  <c r="T52" i="7"/>
  <c r="D51" i="8"/>
  <c r="P51" i="8" s="1"/>
  <c r="C51" i="8"/>
  <c r="E51" i="8" s="1"/>
  <c r="I50" i="8"/>
  <c r="L50" i="8" s="1"/>
  <c r="C53" i="7"/>
  <c r="F53" i="7" s="1"/>
  <c r="K49" i="8"/>
  <c r="N49" i="8" s="1"/>
  <c r="Q49" i="8" s="1"/>
  <c r="O49" i="8"/>
  <c r="R49" i="8" s="1"/>
  <c r="J50" i="8"/>
  <c r="M50" i="8" s="1"/>
  <c r="H50" i="8"/>
  <c r="B52" i="8"/>
  <c r="G51" i="8"/>
  <c r="M52" i="7"/>
  <c r="Q52" i="7" s="1"/>
  <c r="R51" i="7"/>
  <c r="U51" i="7" s="1"/>
  <c r="S51" i="7"/>
  <c r="V51" i="7" s="1"/>
  <c r="I53" i="7"/>
  <c r="B54" i="7"/>
  <c r="B57" i="6"/>
  <c r="K56" i="6"/>
  <c r="M56" i="6" s="1"/>
  <c r="Q54" i="6"/>
  <c r="V54" i="6" s="1"/>
  <c r="Y54" i="6" s="1"/>
  <c r="W54" i="6"/>
  <c r="Z54" i="6" s="1"/>
  <c r="P55" i="6"/>
  <c r="U55" i="6" s="1"/>
  <c r="S55" i="6"/>
  <c r="R55" i="6"/>
  <c r="T55" i="6"/>
  <c r="L56" i="1"/>
  <c r="R56" i="1" s="1"/>
  <c r="X56" i="1" s="1"/>
  <c r="AB56" i="1"/>
  <c r="M57" i="1"/>
  <c r="C57" i="1"/>
  <c r="H57" i="1" s="1"/>
  <c r="G57" i="1"/>
  <c r="E57" i="1"/>
  <c r="J57" i="1" s="1"/>
  <c r="D57" i="1"/>
  <c r="I57" i="1" s="1"/>
  <c r="F57" i="1"/>
  <c r="K57" i="1" s="1"/>
  <c r="S56" i="1"/>
  <c r="Y56" i="1" s="1"/>
  <c r="N56" i="1"/>
  <c r="P56" i="1"/>
  <c r="V56" i="1" s="1"/>
  <c r="O56" i="1"/>
  <c r="U56" i="1" s="1"/>
  <c r="Q56" i="1"/>
  <c r="W56" i="1" s="1"/>
  <c r="T55" i="1"/>
  <c r="Z55" i="1" s="1"/>
  <c r="AC55" i="1" s="1"/>
  <c r="AA55" i="1"/>
  <c r="AD55" i="1" s="1"/>
  <c r="B58" i="1"/>
  <c r="J56" i="6" l="1"/>
  <c r="O56" i="6" s="1"/>
  <c r="T56" i="6" s="1"/>
  <c r="X56" i="6"/>
  <c r="F51" i="8"/>
  <c r="I51" i="8" s="1"/>
  <c r="L51" i="8" s="1"/>
  <c r="J53" i="7"/>
  <c r="N53" i="7" s="1"/>
  <c r="D57" i="6"/>
  <c r="H57" i="6" s="1"/>
  <c r="M57" i="6" s="1"/>
  <c r="C57" i="6"/>
  <c r="G57" i="6" s="1"/>
  <c r="L57" i="6" s="1"/>
  <c r="F57" i="6"/>
  <c r="E57" i="6"/>
  <c r="I57" i="6" s="1"/>
  <c r="D54" i="7"/>
  <c r="E54" i="7"/>
  <c r="K53" i="7"/>
  <c r="O53" i="7" s="1"/>
  <c r="H53" i="7"/>
  <c r="L53" i="7" s="1"/>
  <c r="P53" i="7" s="1"/>
  <c r="T53" i="7"/>
  <c r="C52" i="8"/>
  <c r="E52" i="8" s="1"/>
  <c r="D52" i="8"/>
  <c r="P52" i="8" s="1"/>
  <c r="C54" i="7"/>
  <c r="F54" i="7" s="1"/>
  <c r="J54" i="7" s="1"/>
  <c r="N54" i="7" s="1"/>
  <c r="J51" i="8"/>
  <c r="M51" i="8" s="1"/>
  <c r="H51" i="8"/>
  <c r="K50" i="8"/>
  <c r="N50" i="8" s="1"/>
  <c r="Q50" i="8" s="1"/>
  <c r="O50" i="8"/>
  <c r="R50" i="8" s="1"/>
  <c r="G52" i="8"/>
  <c r="B53" i="8"/>
  <c r="D53" i="8" s="1"/>
  <c r="P53" i="8" s="1"/>
  <c r="S52" i="7"/>
  <c r="V52" i="7" s="1"/>
  <c r="R52" i="7"/>
  <c r="U52" i="7" s="1"/>
  <c r="I54" i="7"/>
  <c r="B55" i="7"/>
  <c r="G54" i="7"/>
  <c r="K54" i="7" s="1"/>
  <c r="O54" i="7" s="1"/>
  <c r="M53" i="7"/>
  <c r="Q53" i="7" s="1"/>
  <c r="P56" i="6"/>
  <c r="U56" i="6" s="1"/>
  <c r="S56" i="6"/>
  <c r="R56" i="6"/>
  <c r="B58" i="6"/>
  <c r="K57" i="6"/>
  <c r="Q55" i="6"/>
  <c r="V55" i="6" s="1"/>
  <c r="Y55" i="6" s="1"/>
  <c r="W55" i="6"/>
  <c r="Z55" i="6" s="1"/>
  <c r="L57" i="1"/>
  <c r="R57" i="1" s="1"/>
  <c r="X57" i="1" s="1"/>
  <c r="AB57" i="1"/>
  <c r="M58" i="1"/>
  <c r="D58" i="1"/>
  <c r="I58" i="1" s="1"/>
  <c r="E58" i="1"/>
  <c r="J58" i="1" s="1"/>
  <c r="C58" i="1"/>
  <c r="H58" i="1" s="1"/>
  <c r="G58" i="1"/>
  <c r="F58" i="1"/>
  <c r="K58" i="1" s="1"/>
  <c r="S57" i="1"/>
  <c r="P57" i="1"/>
  <c r="V57" i="1" s="1"/>
  <c r="O57" i="1"/>
  <c r="U57" i="1" s="1"/>
  <c r="Q57" i="1"/>
  <c r="W57" i="1" s="1"/>
  <c r="N57" i="1"/>
  <c r="AA56" i="1"/>
  <c r="AD56" i="1" s="1"/>
  <c r="T56" i="1"/>
  <c r="Z56" i="1" s="1"/>
  <c r="AC56" i="1" s="1"/>
  <c r="B59" i="1"/>
  <c r="Y57" i="1"/>
  <c r="C58" i="6" l="1"/>
  <c r="G58" i="6" s="1"/>
  <c r="D58" i="6"/>
  <c r="H58" i="6" s="1"/>
  <c r="E58" i="6"/>
  <c r="I58" i="6" s="1"/>
  <c r="F58" i="6"/>
  <c r="N57" i="6"/>
  <c r="F52" i="8"/>
  <c r="I52" i="8" s="1"/>
  <c r="L52" i="8" s="1"/>
  <c r="J57" i="6"/>
  <c r="O57" i="6" s="1"/>
  <c r="X57" i="6"/>
  <c r="D55" i="7"/>
  <c r="E55" i="7"/>
  <c r="H54" i="7"/>
  <c r="L54" i="7" s="1"/>
  <c r="P54" i="7" s="1"/>
  <c r="T54" i="7"/>
  <c r="C55" i="7"/>
  <c r="G53" i="8"/>
  <c r="B54" i="8"/>
  <c r="D54" i="8" s="1"/>
  <c r="P54" i="8" s="1"/>
  <c r="F53" i="8"/>
  <c r="I53" i="8" s="1"/>
  <c r="L53" i="8" s="1"/>
  <c r="C53" i="8"/>
  <c r="E53" i="8" s="1"/>
  <c r="O51" i="8"/>
  <c r="R51" i="8" s="1"/>
  <c r="K51" i="8"/>
  <c r="N51" i="8" s="1"/>
  <c r="Q51" i="8" s="1"/>
  <c r="J52" i="8"/>
  <c r="M52" i="8" s="1"/>
  <c r="H52" i="8"/>
  <c r="R53" i="7"/>
  <c r="U53" i="7" s="1"/>
  <c r="S53" i="7"/>
  <c r="V53" i="7" s="1"/>
  <c r="B56" i="7"/>
  <c r="I55" i="7"/>
  <c r="F55" i="7"/>
  <c r="J55" i="7" s="1"/>
  <c r="N55" i="7" s="1"/>
  <c r="G55" i="7"/>
  <c r="K55" i="7" s="1"/>
  <c r="O55" i="7" s="1"/>
  <c r="M54" i="7"/>
  <c r="Q54" i="7" s="1"/>
  <c r="P57" i="6"/>
  <c r="U57" i="6" s="1"/>
  <c r="S57" i="6"/>
  <c r="T57" i="6"/>
  <c r="R57" i="6"/>
  <c r="K58" i="6"/>
  <c r="B59" i="6"/>
  <c r="Q56" i="6"/>
  <c r="V56" i="6" s="1"/>
  <c r="Y56" i="6" s="1"/>
  <c r="W56" i="6"/>
  <c r="Z56" i="6" s="1"/>
  <c r="L58" i="1"/>
  <c r="AB58" i="1"/>
  <c r="M59" i="1"/>
  <c r="D59" i="1"/>
  <c r="I59" i="1" s="1"/>
  <c r="F59" i="1"/>
  <c r="K59" i="1" s="1"/>
  <c r="G59" i="1"/>
  <c r="E59" i="1"/>
  <c r="J59" i="1" s="1"/>
  <c r="C59" i="1"/>
  <c r="H59" i="1" s="1"/>
  <c r="S58" i="1"/>
  <c r="O58" i="1"/>
  <c r="U58" i="1" s="1"/>
  <c r="Q58" i="1"/>
  <c r="W58" i="1" s="1"/>
  <c r="P58" i="1"/>
  <c r="V58" i="1" s="1"/>
  <c r="N58" i="1"/>
  <c r="R58" i="1"/>
  <c r="X58" i="1" s="1"/>
  <c r="AA57" i="1"/>
  <c r="AD57" i="1" s="1"/>
  <c r="T57" i="1"/>
  <c r="Z57" i="1" s="1"/>
  <c r="AC57" i="1" s="1"/>
  <c r="Y58" i="1"/>
  <c r="B60" i="1"/>
  <c r="C59" i="6" l="1"/>
  <c r="G59" i="6" s="1"/>
  <c r="D59" i="6"/>
  <c r="H59" i="6" s="1"/>
  <c r="F59" i="6"/>
  <c r="E59" i="6"/>
  <c r="I59" i="6" s="1"/>
  <c r="N58" i="6"/>
  <c r="S58" i="6" s="1"/>
  <c r="L58" i="6"/>
  <c r="J58" i="6"/>
  <c r="O58" i="6" s="1"/>
  <c r="T58" i="6" s="1"/>
  <c r="X58" i="6"/>
  <c r="M58" i="6"/>
  <c r="D56" i="7"/>
  <c r="E56" i="7"/>
  <c r="H55" i="7"/>
  <c r="L55" i="7" s="1"/>
  <c r="P55" i="7" s="1"/>
  <c r="T55" i="7"/>
  <c r="C56" i="7"/>
  <c r="K52" i="8"/>
  <c r="N52" i="8" s="1"/>
  <c r="Q52" i="8" s="1"/>
  <c r="O52" i="8"/>
  <c r="R52" i="8" s="1"/>
  <c r="B55" i="8"/>
  <c r="D55" i="8" s="1"/>
  <c r="P55" i="8" s="1"/>
  <c r="G54" i="8"/>
  <c r="F54" i="8"/>
  <c r="I54" i="8" s="1"/>
  <c r="L54" i="8" s="1"/>
  <c r="C54" i="8"/>
  <c r="E54" i="8" s="1"/>
  <c r="J53" i="8"/>
  <c r="M53" i="8" s="1"/>
  <c r="H53" i="8"/>
  <c r="M55" i="7"/>
  <c r="Q55" i="7" s="1"/>
  <c r="B57" i="7"/>
  <c r="I56" i="7"/>
  <c r="F56" i="7"/>
  <c r="G56" i="7"/>
  <c r="R54" i="7"/>
  <c r="U54" i="7" s="1"/>
  <c r="S54" i="7"/>
  <c r="V54" i="7" s="1"/>
  <c r="K59" i="6"/>
  <c r="N59" i="6" s="1"/>
  <c r="B60" i="6"/>
  <c r="P58" i="6"/>
  <c r="U58" i="6" s="1"/>
  <c r="R58" i="6"/>
  <c r="W57" i="6"/>
  <c r="Z57" i="6" s="1"/>
  <c r="Q57" i="6"/>
  <c r="V57" i="6" s="1"/>
  <c r="Y57" i="6" s="1"/>
  <c r="L59" i="1"/>
  <c r="R59" i="1" s="1"/>
  <c r="X59" i="1" s="1"/>
  <c r="AB59" i="1"/>
  <c r="M60" i="1"/>
  <c r="G60" i="1"/>
  <c r="E60" i="1"/>
  <c r="J60" i="1" s="1"/>
  <c r="D60" i="1"/>
  <c r="I60" i="1" s="1"/>
  <c r="F60" i="1"/>
  <c r="K60" i="1" s="1"/>
  <c r="C60" i="1"/>
  <c r="H60" i="1" s="1"/>
  <c r="S59" i="1"/>
  <c r="Y59" i="1" s="1"/>
  <c r="O59" i="1"/>
  <c r="U59" i="1" s="1"/>
  <c r="P59" i="1"/>
  <c r="V59" i="1" s="1"/>
  <c r="N59" i="1"/>
  <c r="Q59" i="1"/>
  <c r="W59" i="1" s="1"/>
  <c r="T58" i="1"/>
  <c r="Z58" i="1" s="1"/>
  <c r="AC58" i="1" s="1"/>
  <c r="AA58" i="1"/>
  <c r="AD58" i="1" s="1"/>
  <c r="B61" i="1"/>
  <c r="F60" i="6" l="1"/>
  <c r="D60" i="6"/>
  <c r="H60" i="6" s="1"/>
  <c r="C60" i="6"/>
  <c r="G60" i="6" s="1"/>
  <c r="L60" i="6" s="1"/>
  <c r="E60" i="6"/>
  <c r="I60" i="6" s="1"/>
  <c r="N60" i="6" s="1"/>
  <c r="J59" i="6"/>
  <c r="O59" i="6" s="1"/>
  <c r="T59" i="6" s="1"/>
  <c r="X59" i="6"/>
  <c r="M59" i="6"/>
  <c r="R59" i="6" s="1"/>
  <c r="L59" i="6"/>
  <c r="D57" i="7"/>
  <c r="E57" i="7"/>
  <c r="K56" i="7"/>
  <c r="O56" i="7" s="1"/>
  <c r="T56" i="7"/>
  <c r="H56" i="7"/>
  <c r="L56" i="7" s="1"/>
  <c r="P56" i="7" s="1"/>
  <c r="J56" i="7"/>
  <c r="N56" i="7" s="1"/>
  <c r="C57" i="7"/>
  <c r="F57" i="7" s="1"/>
  <c r="J57" i="7" s="1"/>
  <c r="N57" i="7" s="1"/>
  <c r="J54" i="8"/>
  <c r="M54" i="8" s="1"/>
  <c r="H54" i="8"/>
  <c r="K53" i="8"/>
  <c r="N53" i="8" s="1"/>
  <c r="Q53" i="8" s="1"/>
  <c r="O53" i="8"/>
  <c r="R53" i="8" s="1"/>
  <c r="B56" i="8"/>
  <c r="D56" i="8" s="1"/>
  <c r="P56" i="8" s="1"/>
  <c r="G55" i="8"/>
  <c r="F55" i="8"/>
  <c r="I55" i="8" s="1"/>
  <c r="L55" i="8" s="1"/>
  <c r="C55" i="8"/>
  <c r="E55" i="8" s="1"/>
  <c r="M56" i="7"/>
  <c r="Q56" i="7" s="1"/>
  <c r="I57" i="7"/>
  <c r="B58" i="7"/>
  <c r="G57" i="7"/>
  <c r="K57" i="7" s="1"/>
  <c r="O57" i="7" s="1"/>
  <c r="R55" i="7"/>
  <c r="U55" i="7" s="1"/>
  <c r="S55" i="7"/>
  <c r="V55" i="7" s="1"/>
  <c r="Q58" i="6"/>
  <c r="V58" i="6" s="1"/>
  <c r="Y58" i="6" s="1"/>
  <c r="W58" i="6"/>
  <c r="Z58" i="6" s="1"/>
  <c r="B61" i="6"/>
  <c r="K60" i="6"/>
  <c r="P59" i="6"/>
  <c r="U59" i="6" s="1"/>
  <c r="S59" i="6"/>
  <c r="L60" i="1"/>
  <c r="R60" i="1" s="1"/>
  <c r="X60" i="1" s="1"/>
  <c r="AB60" i="1"/>
  <c r="M61" i="1"/>
  <c r="E61" i="1"/>
  <c r="J61" i="1" s="1"/>
  <c r="G61" i="1"/>
  <c r="D61" i="1"/>
  <c r="I61" i="1" s="1"/>
  <c r="F61" i="1"/>
  <c r="K61" i="1" s="1"/>
  <c r="C61" i="1"/>
  <c r="H61" i="1" s="1"/>
  <c r="S60" i="1"/>
  <c r="P60" i="1"/>
  <c r="V60" i="1" s="1"/>
  <c r="Q60" i="1"/>
  <c r="W60" i="1" s="1"/>
  <c r="N60" i="1"/>
  <c r="O60" i="1"/>
  <c r="U60" i="1" s="1"/>
  <c r="AA59" i="1"/>
  <c r="AD59" i="1" s="1"/>
  <c r="T59" i="1"/>
  <c r="Z59" i="1" s="1"/>
  <c r="AC59" i="1" s="1"/>
  <c r="Y60" i="1"/>
  <c r="B62" i="1"/>
  <c r="X60" i="6" l="1"/>
  <c r="J60" i="6"/>
  <c r="O60" i="6" s="1"/>
  <c r="M60" i="6"/>
  <c r="F61" i="6"/>
  <c r="C61" i="6"/>
  <c r="G61" i="6" s="1"/>
  <c r="L61" i="6" s="1"/>
  <c r="D61" i="6"/>
  <c r="H61" i="6" s="1"/>
  <c r="M61" i="6" s="1"/>
  <c r="E61" i="6"/>
  <c r="I61" i="6" s="1"/>
  <c r="E58" i="7"/>
  <c r="D58" i="7"/>
  <c r="G58" i="7" s="1"/>
  <c r="T57" i="7"/>
  <c r="H57" i="7"/>
  <c r="L57" i="7" s="1"/>
  <c r="P57" i="7" s="1"/>
  <c r="C58" i="7"/>
  <c r="F58" i="7" s="1"/>
  <c r="J58" i="7" s="1"/>
  <c r="N58" i="7" s="1"/>
  <c r="J55" i="8"/>
  <c r="M55" i="8" s="1"/>
  <c r="H55" i="8"/>
  <c r="K54" i="8"/>
  <c r="N54" i="8" s="1"/>
  <c r="Q54" i="8" s="1"/>
  <c r="O54" i="8"/>
  <c r="R54" i="8" s="1"/>
  <c r="G56" i="8"/>
  <c r="B57" i="8"/>
  <c r="D57" i="8" s="1"/>
  <c r="P57" i="8" s="1"/>
  <c r="F56" i="8"/>
  <c r="I56" i="8" s="1"/>
  <c r="L56" i="8" s="1"/>
  <c r="C56" i="8"/>
  <c r="E56" i="8" s="1"/>
  <c r="B59" i="7"/>
  <c r="I58" i="7"/>
  <c r="S56" i="7"/>
  <c r="V56" i="7" s="1"/>
  <c r="R56" i="7"/>
  <c r="U56" i="7" s="1"/>
  <c r="M57" i="7"/>
  <c r="Q57" i="7" s="1"/>
  <c r="P60" i="6"/>
  <c r="U60" i="6" s="1"/>
  <c r="S60" i="6"/>
  <c r="R60" i="6"/>
  <c r="T60" i="6"/>
  <c r="Q59" i="6"/>
  <c r="V59" i="6" s="1"/>
  <c r="Y59" i="6" s="1"/>
  <c r="W59" i="6"/>
  <c r="Z59" i="6" s="1"/>
  <c r="K61" i="6"/>
  <c r="B62" i="6"/>
  <c r="L61" i="1"/>
  <c r="R61" i="1" s="1"/>
  <c r="X61" i="1" s="1"/>
  <c r="AB61" i="1"/>
  <c r="M62" i="1"/>
  <c r="C62" i="1"/>
  <c r="H62" i="1" s="1"/>
  <c r="G62" i="1"/>
  <c r="D62" i="1"/>
  <c r="I62" i="1" s="1"/>
  <c r="E62" i="1"/>
  <c r="J62" i="1" s="1"/>
  <c r="F62" i="1"/>
  <c r="K62" i="1" s="1"/>
  <c r="S61" i="1"/>
  <c r="Y61" i="1" s="1"/>
  <c r="O61" i="1"/>
  <c r="U61" i="1" s="1"/>
  <c r="Q61" i="1"/>
  <c r="W61" i="1" s="1"/>
  <c r="N61" i="1"/>
  <c r="P61" i="1"/>
  <c r="V61" i="1" s="1"/>
  <c r="AA60" i="1"/>
  <c r="AD60" i="1" s="1"/>
  <c r="T60" i="1"/>
  <c r="Z60" i="1" s="1"/>
  <c r="AC60" i="1" s="1"/>
  <c r="B63" i="1"/>
  <c r="X61" i="6" l="1"/>
  <c r="J61" i="6"/>
  <c r="O61" i="6" s="1"/>
  <c r="T61" i="6" s="1"/>
  <c r="E62" i="6"/>
  <c r="I62" i="6" s="1"/>
  <c r="F62" i="6"/>
  <c r="D62" i="6"/>
  <c r="H62" i="6" s="1"/>
  <c r="M62" i="6" s="1"/>
  <c r="C62" i="6"/>
  <c r="G62" i="6" s="1"/>
  <c r="N61" i="6"/>
  <c r="S61" i="6" s="1"/>
  <c r="K58" i="7"/>
  <c r="O58" i="7" s="1"/>
  <c r="E59" i="7"/>
  <c r="D59" i="7"/>
  <c r="H58" i="7"/>
  <c r="L58" i="7" s="1"/>
  <c r="P58" i="7" s="1"/>
  <c r="T58" i="7"/>
  <c r="C59" i="7"/>
  <c r="B58" i="8"/>
  <c r="D58" i="8" s="1"/>
  <c r="P58" i="8" s="1"/>
  <c r="G57" i="8"/>
  <c r="F57" i="8"/>
  <c r="I57" i="8" s="1"/>
  <c r="L57" i="8" s="1"/>
  <c r="C57" i="8"/>
  <c r="E57" i="8" s="1"/>
  <c r="J56" i="8"/>
  <c r="M56" i="8" s="1"/>
  <c r="H56" i="8"/>
  <c r="O55" i="8"/>
  <c r="R55" i="8" s="1"/>
  <c r="K55" i="8"/>
  <c r="N55" i="8" s="1"/>
  <c r="Q55" i="8" s="1"/>
  <c r="M58" i="7"/>
  <c r="Q58" i="7" s="1"/>
  <c r="B60" i="7"/>
  <c r="I59" i="7"/>
  <c r="F59" i="7"/>
  <c r="G59" i="7"/>
  <c r="R57" i="7"/>
  <c r="U57" i="7" s="1"/>
  <c r="S57" i="7"/>
  <c r="V57" i="7" s="1"/>
  <c r="K62" i="6"/>
  <c r="B63" i="6"/>
  <c r="P61" i="6"/>
  <c r="U61" i="6" s="1"/>
  <c r="R61" i="6"/>
  <c r="W60" i="6"/>
  <c r="Z60" i="6" s="1"/>
  <c r="Q60" i="6"/>
  <c r="V60" i="6" s="1"/>
  <c r="Y60" i="6" s="1"/>
  <c r="L62" i="1"/>
  <c r="R62" i="1" s="1"/>
  <c r="X62" i="1" s="1"/>
  <c r="AB62" i="1"/>
  <c r="M63" i="1"/>
  <c r="E63" i="1"/>
  <c r="J63" i="1" s="1"/>
  <c r="G63" i="1"/>
  <c r="D63" i="1"/>
  <c r="I63" i="1" s="1"/>
  <c r="C63" i="1"/>
  <c r="H63" i="1" s="1"/>
  <c r="F63" i="1"/>
  <c r="K63" i="1" s="1"/>
  <c r="S62" i="1"/>
  <c r="Q62" i="1"/>
  <c r="W62" i="1" s="1"/>
  <c r="P62" i="1"/>
  <c r="V62" i="1" s="1"/>
  <c r="O62" i="1"/>
  <c r="U62" i="1" s="1"/>
  <c r="N62" i="1"/>
  <c r="AA61" i="1"/>
  <c r="AD61" i="1" s="1"/>
  <c r="T61" i="1"/>
  <c r="Z61" i="1" s="1"/>
  <c r="AC61" i="1" s="1"/>
  <c r="Y62" i="1"/>
  <c r="B64" i="1"/>
  <c r="L62" i="6" l="1"/>
  <c r="X62" i="6"/>
  <c r="J62" i="6"/>
  <c r="O62" i="6" s="1"/>
  <c r="T62" i="6" s="1"/>
  <c r="F63" i="6"/>
  <c r="E63" i="6"/>
  <c r="I63" i="6" s="1"/>
  <c r="D63" i="6"/>
  <c r="H63" i="6" s="1"/>
  <c r="M63" i="6" s="1"/>
  <c r="C63" i="6"/>
  <c r="G63" i="6" s="1"/>
  <c r="N62" i="6"/>
  <c r="E60" i="7"/>
  <c r="D60" i="7"/>
  <c r="K59" i="7"/>
  <c r="O59" i="7" s="1"/>
  <c r="J59" i="7"/>
  <c r="N59" i="7" s="1"/>
  <c r="H59" i="7"/>
  <c r="L59" i="7" s="1"/>
  <c r="P59" i="7" s="1"/>
  <c r="T59" i="7"/>
  <c r="G60" i="7"/>
  <c r="C60" i="7"/>
  <c r="F60" i="7" s="1"/>
  <c r="K56" i="8"/>
  <c r="N56" i="8" s="1"/>
  <c r="Q56" i="8" s="1"/>
  <c r="O56" i="8"/>
  <c r="R56" i="8" s="1"/>
  <c r="J57" i="8"/>
  <c r="M57" i="8" s="1"/>
  <c r="H57" i="8"/>
  <c r="B59" i="8"/>
  <c r="D59" i="8" s="1"/>
  <c r="P59" i="8" s="1"/>
  <c r="G58" i="8"/>
  <c r="C58" i="8"/>
  <c r="E58" i="8" s="1"/>
  <c r="F58" i="8"/>
  <c r="I58" i="8" s="1"/>
  <c r="L58" i="8" s="1"/>
  <c r="M59" i="7"/>
  <c r="Q59" i="7" s="1"/>
  <c r="R58" i="7"/>
  <c r="U58" i="7" s="1"/>
  <c r="S58" i="7"/>
  <c r="V58" i="7" s="1"/>
  <c r="B61" i="7"/>
  <c r="I60" i="7"/>
  <c r="Q61" i="6"/>
  <c r="V61" i="6" s="1"/>
  <c r="Y61" i="6" s="1"/>
  <c r="W61" i="6"/>
  <c r="Z61" i="6" s="1"/>
  <c r="B64" i="6"/>
  <c r="K63" i="6"/>
  <c r="P62" i="6"/>
  <c r="U62" i="6" s="1"/>
  <c r="S62" i="6"/>
  <c r="R62" i="6"/>
  <c r="L63" i="1"/>
  <c r="R63" i="1" s="1"/>
  <c r="X63" i="1" s="1"/>
  <c r="AB63" i="1"/>
  <c r="M64" i="1"/>
  <c r="D64" i="1"/>
  <c r="I64" i="1" s="1"/>
  <c r="C64" i="1"/>
  <c r="H64" i="1" s="1"/>
  <c r="E64" i="1"/>
  <c r="J64" i="1" s="1"/>
  <c r="G64" i="1"/>
  <c r="F64" i="1"/>
  <c r="K64" i="1" s="1"/>
  <c r="S63" i="1"/>
  <c r="Y63" i="1" s="1"/>
  <c r="P63" i="1"/>
  <c r="V63" i="1" s="1"/>
  <c r="O63" i="1"/>
  <c r="U63" i="1" s="1"/>
  <c r="Q63" i="1"/>
  <c r="W63" i="1" s="1"/>
  <c r="N63" i="1"/>
  <c r="AA62" i="1"/>
  <c r="AD62" i="1" s="1"/>
  <c r="T62" i="1"/>
  <c r="Z62" i="1" s="1"/>
  <c r="AC62" i="1" s="1"/>
  <c r="B65" i="1"/>
  <c r="X63" i="6" l="1"/>
  <c r="J63" i="6"/>
  <c r="O63" i="6" s="1"/>
  <c r="N63" i="6"/>
  <c r="S63" i="6" s="1"/>
  <c r="E64" i="6"/>
  <c r="I64" i="6" s="1"/>
  <c r="F64" i="6"/>
  <c r="D64" i="6"/>
  <c r="H64" i="6" s="1"/>
  <c r="C64" i="6"/>
  <c r="G64" i="6" s="1"/>
  <c r="J60" i="7"/>
  <c r="N60" i="7" s="1"/>
  <c r="L63" i="6"/>
  <c r="K60" i="7"/>
  <c r="O60" i="7" s="1"/>
  <c r="D61" i="7"/>
  <c r="E61" i="7"/>
  <c r="H60" i="7"/>
  <c r="L60" i="7" s="1"/>
  <c r="P60" i="7" s="1"/>
  <c r="T60" i="7"/>
  <c r="C61" i="7"/>
  <c r="F61" i="7" s="1"/>
  <c r="J58" i="8"/>
  <c r="M58" i="8" s="1"/>
  <c r="H58" i="8"/>
  <c r="G59" i="8"/>
  <c r="B60" i="8"/>
  <c r="D60" i="8" s="1"/>
  <c r="P60" i="8" s="1"/>
  <c r="F59" i="8"/>
  <c r="C59" i="8"/>
  <c r="E59" i="8" s="1"/>
  <c r="K57" i="8"/>
  <c r="N57" i="8" s="1"/>
  <c r="Q57" i="8" s="1"/>
  <c r="O57" i="8"/>
  <c r="R57" i="8" s="1"/>
  <c r="M60" i="7"/>
  <c r="Q60" i="7" s="1"/>
  <c r="I61" i="7"/>
  <c r="B62" i="7"/>
  <c r="G61" i="7"/>
  <c r="R59" i="7"/>
  <c r="U59" i="7" s="1"/>
  <c r="S59" i="7"/>
  <c r="V59" i="7" s="1"/>
  <c r="Q62" i="6"/>
  <c r="V62" i="6" s="1"/>
  <c r="Y62" i="6" s="1"/>
  <c r="W62" i="6"/>
  <c r="Z62" i="6" s="1"/>
  <c r="P63" i="6"/>
  <c r="U63" i="6" s="1"/>
  <c r="R63" i="6"/>
  <c r="T63" i="6"/>
  <c r="B65" i="6"/>
  <c r="K64" i="6"/>
  <c r="L64" i="1"/>
  <c r="AB64" i="1"/>
  <c r="M65" i="1"/>
  <c r="F65" i="1"/>
  <c r="K65" i="1" s="1"/>
  <c r="G65" i="1"/>
  <c r="E65" i="1"/>
  <c r="J65" i="1" s="1"/>
  <c r="D65" i="1"/>
  <c r="I65" i="1" s="1"/>
  <c r="C65" i="1"/>
  <c r="H65" i="1" s="1"/>
  <c r="S64" i="1"/>
  <c r="Y64" i="1" s="1"/>
  <c r="O64" i="1"/>
  <c r="U64" i="1" s="1"/>
  <c r="P64" i="1"/>
  <c r="V64" i="1" s="1"/>
  <c r="Q64" i="1"/>
  <c r="W64" i="1" s="1"/>
  <c r="N64" i="1"/>
  <c r="R64" i="1"/>
  <c r="X64" i="1" s="1"/>
  <c r="T63" i="1"/>
  <c r="Z63" i="1" s="1"/>
  <c r="AC63" i="1" s="1"/>
  <c r="AA63" i="1"/>
  <c r="AD63" i="1" s="1"/>
  <c r="B66" i="1"/>
  <c r="F65" i="6" l="1"/>
  <c r="D65" i="6"/>
  <c r="H65" i="6" s="1"/>
  <c r="C65" i="6"/>
  <c r="G65" i="6" s="1"/>
  <c r="E65" i="6"/>
  <c r="I65" i="6" s="1"/>
  <c r="L64" i="6"/>
  <c r="X64" i="6"/>
  <c r="J64" i="6"/>
  <c r="O64" i="6" s="1"/>
  <c r="T64" i="6" s="1"/>
  <c r="N64" i="6"/>
  <c r="M64" i="6"/>
  <c r="H61" i="7"/>
  <c r="L61" i="7" s="1"/>
  <c r="P61" i="7" s="1"/>
  <c r="T61" i="7"/>
  <c r="K61" i="7"/>
  <c r="O61" i="7" s="1"/>
  <c r="J61" i="7"/>
  <c r="N61" i="7" s="1"/>
  <c r="D62" i="7"/>
  <c r="E62" i="7"/>
  <c r="I59" i="8"/>
  <c r="L59" i="8" s="1"/>
  <c r="C62" i="7"/>
  <c r="F62" i="7" s="1"/>
  <c r="J62" i="7" s="1"/>
  <c r="N62" i="7" s="1"/>
  <c r="G60" i="8"/>
  <c r="B61" i="8"/>
  <c r="D61" i="8" s="1"/>
  <c r="P61" i="8" s="1"/>
  <c r="C60" i="8"/>
  <c r="E60" i="8" s="1"/>
  <c r="F60" i="8"/>
  <c r="J59" i="8"/>
  <c r="M59" i="8" s="1"/>
  <c r="H59" i="8"/>
  <c r="O58" i="8"/>
  <c r="R58" i="8" s="1"/>
  <c r="K58" i="8"/>
  <c r="N58" i="8" s="1"/>
  <c r="Q58" i="8" s="1"/>
  <c r="I62" i="7"/>
  <c r="B63" i="7"/>
  <c r="G62" i="7"/>
  <c r="K62" i="7" s="1"/>
  <c r="O62" i="7" s="1"/>
  <c r="S60" i="7"/>
  <c r="V60" i="7" s="1"/>
  <c r="R60" i="7"/>
  <c r="U60" i="7" s="1"/>
  <c r="M61" i="7"/>
  <c r="Q61" i="7" s="1"/>
  <c r="P64" i="6"/>
  <c r="U64" i="6" s="1"/>
  <c r="S64" i="6"/>
  <c r="R64" i="6"/>
  <c r="K65" i="6"/>
  <c r="N65" i="6" s="1"/>
  <c r="B66" i="6"/>
  <c r="Q63" i="6"/>
  <c r="V63" i="6" s="1"/>
  <c r="Y63" i="6" s="1"/>
  <c r="W63" i="6"/>
  <c r="Z63" i="6" s="1"/>
  <c r="L65" i="1"/>
  <c r="AB65" i="1"/>
  <c r="M66" i="1"/>
  <c r="E66" i="1"/>
  <c r="J66" i="1" s="1"/>
  <c r="F66" i="1"/>
  <c r="K66" i="1" s="1"/>
  <c r="D66" i="1"/>
  <c r="I66" i="1" s="1"/>
  <c r="C66" i="1"/>
  <c r="H66" i="1" s="1"/>
  <c r="G66" i="1"/>
  <c r="S65" i="1"/>
  <c r="Y65" i="1" s="1"/>
  <c r="Q65" i="1"/>
  <c r="W65" i="1" s="1"/>
  <c r="O65" i="1"/>
  <c r="U65" i="1" s="1"/>
  <c r="N65" i="1"/>
  <c r="P65" i="1"/>
  <c r="V65" i="1" s="1"/>
  <c r="R65" i="1"/>
  <c r="X65" i="1" s="1"/>
  <c r="AA64" i="1"/>
  <c r="AD64" i="1" s="1"/>
  <c r="T64" i="1"/>
  <c r="Z64" i="1" s="1"/>
  <c r="AC64" i="1" s="1"/>
  <c r="B67" i="1"/>
  <c r="L65" i="6" l="1"/>
  <c r="M65" i="6"/>
  <c r="R65" i="6" s="1"/>
  <c r="E66" i="6"/>
  <c r="I66" i="6" s="1"/>
  <c r="N66" i="6" s="1"/>
  <c r="F66" i="6"/>
  <c r="D66" i="6"/>
  <c r="H66" i="6" s="1"/>
  <c r="M66" i="6" s="1"/>
  <c r="C66" i="6"/>
  <c r="G66" i="6" s="1"/>
  <c r="X65" i="6"/>
  <c r="J65" i="6"/>
  <c r="O65" i="6" s="1"/>
  <c r="D63" i="7"/>
  <c r="E63" i="7"/>
  <c r="T62" i="7"/>
  <c r="H62" i="7"/>
  <c r="L62" i="7" s="1"/>
  <c r="P62" i="7" s="1"/>
  <c r="I60" i="8"/>
  <c r="L60" i="8" s="1"/>
  <c r="C63" i="7"/>
  <c r="O59" i="8"/>
  <c r="R59" i="8" s="1"/>
  <c r="K59" i="8"/>
  <c r="N59" i="8" s="1"/>
  <c r="Q59" i="8" s="1"/>
  <c r="B62" i="8"/>
  <c r="D62" i="8" s="1"/>
  <c r="P62" i="8" s="1"/>
  <c r="G61" i="8"/>
  <c r="C61" i="8"/>
  <c r="E61" i="8" s="1"/>
  <c r="F61" i="8"/>
  <c r="J60" i="8"/>
  <c r="M60" i="8" s="1"/>
  <c r="H60" i="8"/>
  <c r="R61" i="7"/>
  <c r="U61" i="7" s="1"/>
  <c r="S61" i="7"/>
  <c r="V61" i="7" s="1"/>
  <c r="B64" i="7"/>
  <c r="I63" i="7"/>
  <c r="G63" i="7"/>
  <c r="K63" i="7" s="1"/>
  <c r="O63" i="7" s="1"/>
  <c r="F63" i="7"/>
  <c r="J63" i="7" s="1"/>
  <c r="N63" i="7" s="1"/>
  <c r="M62" i="7"/>
  <c r="Q62" i="7" s="1"/>
  <c r="K66" i="6"/>
  <c r="L66" i="6" s="1"/>
  <c r="B67" i="6"/>
  <c r="P65" i="6"/>
  <c r="U65" i="6" s="1"/>
  <c r="S65" i="6"/>
  <c r="T65" i="6"/>
  <c r="W64" i="6"/>
  <c r="Z64" i="6" s="1"/>
  <c r="Q64" i="6"/>
  <c r="V64" i="6" s="1"/>
  <c r="Y64" i="6" s="1"/>
  <c r="L66" i="1"/>
  <c r="R66" i="1" s="1"/>
  <c r="X66" i="1" s="1"/>
  <c r="AB66" i="1"/>
  <c r="M67" i="1"/>
  <c r="F67" i="1"/>
  <c r="K67" i="1" s="1"/>
  <c r="C67" i="1"/>
  <c r="H67" i="1" s="1"/>
  <c r="G67" i="1"/>
  <c r="E67" i="1"/>
  <c r="J67" i="1" s="1"/>
  <c r="D67" i="1"/>
  <c r="I67" i="1" s="1"/>
  <c r="S66" i="1"/>
  <c r="O66" i="1"/>
  <c r="U66" i="1" s="1"/>
  <c r="P66" i="1"/>
  <c r="V66" i="1" s="1"/>
  <c r="Q66" i="1"/>
  <c r="W66" i="1" s="1"/>
  <c r="N66" i="1"/>
  <c r="T65" i="1"/>
  <c r="Z65" i="1" s="1"/>
  <c r="AC65" i="1" s="1"/>
  <c r="AA65" i="1"/>
  <c r="AD65" i="1" s="1"/>
  <c r="Y66" i="1"/>
  <c r="B68" i="1"/>
  <c r="X66" i="6" l="1"/>
  <c r="J66" i="6"/>
  <c r="O66" i="6" s="1"/>
  <c r="T66" i="6" s="1"/>
  <c r="I61" i="8"/>
  <c r="L61" i="8" s="1"/>
  <c r="C67" i="6"/>
  <c r="G67" i="6" s="1"/>
  <c r="L67" i="6" s="1"/>
  <c r="E67" i="6"/>
  <c r="I67" i="6" s="1"/>
  <c r="F67" i="6"/>
  <c r="D67" i="6"/>
  <c r="H67" i="6" s="1"/>
  <c r="H63" i="7"/>
  <c r="L63" i="7" s="1"/>
  <c r="P63" i="7" s="1"/>
  <c r="T63" i="7"/>
  <c r="D64" i="7"/>
  <c r="E64" i="7"/>
  <c r="C64" i="7"/>
  <c r="K60" i="8"/>
  <c r="N60" i="8" s="1"/>
  <c r="Q60" i="8" s="1"/>
  <c r="O60" i="8"/>
  <c r="R60" i="8" s="1"/>
  <c r="J61" i="8"/>
  <c r="M61" i="8" s="1"/>
  <c r="H61" i="8"/>
  <c r="B63" i="8"/>
  <c r="D63" i="8" s="1"/>
  <c r="P63" i="8" s="1"/>
  <c r="G62" i="8"/>
  <c r="F62" i="8"/>
  <c r="C62" i="8"/>
  <c r="E62" i="8" s="1"/>
  <c r="M63" i="7"/>
  <c r="Q63" i="7" s="1"/>
  <c r="B65" i="7"/>
  <c r="I64" i="7"/>
  <c r="F64" i="7"/>
  <c r="G64" i="7"/>
  <c r="S62" i="7"/>
  <c r="V62" i="7" s="1"/>
  <c r="R62" i="7"/>
  <c r="U62" i="7" s="1"/>
  <c r="B68" i="6"/>
  <c r="K67" i="6"/>
  <c r="N67" i="6" s="1"/>
  <c r="Q65" i="6"/>
  <c r="V65" i="6" s="1"/>
  <c r="Y65" i="6" s="1"/>
  <c r="W65" i="6"/>
  <c r="Z65" i="6" s="1"/>
  <c r="P66" i="6"/>
  <c r="U66" i="6" s="1"/>
  <c r="S66" i="6"/>
  <c r="R66" i="6"/>
  <c r="L67" i="1"/>
  <c r="AB67" i="1"/>
  <c r="M68" i="1"/>
  <c r="D68" i="1"/>
  <c r="I68" i="1" s="1"/>
  <c r="F68" i="1"/>
  <c r="K68" i="1" s="1"/>
  <c r="E68" i="1"/>
  <c r="J68" i="1" s="1"/>
  <c r="G68" i="1"/>
  <c r="C68" i="1"/>
  <c r="H68" i="1" s="1"/>
  <c r="S67" i="1"/>
  <c r="P67" i="1"/>
  <c r="V67" i="1" s="1"/>
  <c r="N67" i="1"/>
  <c r="O67" i="1"/>
  <c r="U67" i="1" s="1"/>
  <c r="Q67" i="1"/>
  <c r="W67" i="1" s="1"/>
  <c r="R67" i="1"/>
  <c r="X67" i="1" s="1"/>
  <c r="AA66" i="1"/>
  <c r="AD66" i="1" s="1"/>
  <c r="T66" i="1"/>
  <c r="Z66" i="1" s="1"/>
  <c r="AC66" i="1" s="1"/>
  <c r="Y67" i="1"/>
  <c r="B69" i="1"/>
  <c r="C68" i="6" l="1"/>
  <c r="G68" i="6" s="1"/>
  <c r="L68" i="6" s="1"/>
  <c r="D68" i="6"/>
  <c r="H68" i="6" s="1"/>
  <c r="F68" i="6"/>
  <c r="E68" i="6"/>
  <c r="I68" i="6" s="1"/>
  <c r="J67" i="6"/>
  <c r="O67" i="6" s="1"/>
  <c r="X67" i="6"/>
  <c r="I62" i="8"/>
  <c r="L62" i="8" s="1"/>
  <c r="M67" i="6"/>
  <c r="T64" i="7"/>
  <c r="H64" i="7"/>
  <c r="L64" i="7" s="1"/>
  <c r="P64" i="7" s="1"/>
  <c r="E65" i="7"/>
  <c r="D65" i="7"/>
  <c r="G65" i="7" s="1"/>
  <c r="K64" i="7"/>
  <c r="O64" i="7" s="1"/>
  <c r="J64" i="7"/>
  <c r="N64" i="7" s="1"/>
  <c r="C65" i="7"/>
  <c r="F65" i="7" s="1"/>
  <c r="J62" i="8"/>
  <c r="M62" i="8" s="1"/>
  <c r="H62" i="8"/>
  <c r="B64" i="8"/>
  <c r="D64" i="8" s="1"/>
  <c r="P64" i="8" s="1"/>
  <c r="G63" i="8"/>
  <c r="F63" i="8"/>
  <c r="I63" i="8" s="1"/>
  <c r="L63" i="8" s="1"/>
  <c r="C63" i="8"/>
  <c r="E63" i="8" s="1"/>
  <c r="K61" i="8"/>
  <c r="N61" i="8" s="1"/>
  <c r="Q61" i="8" s="1"/>
  <c r="O61" i="8"/>
  <c r="R61" i="8" s="1"/>
  <c r="M64" i="7"/>
  <c r="Q64" i="7" s="1"/>
  <c r="B66" i="7"/>
  <c r="I65" i="7"/>
  <c r="R63" i="7"/>
  <c r="U63" i="7" s="1"/>
  <c r="S63" i="7"/>
  <c r="V63" i="7" s="1"/>
  <c r="Q66" i="6"/>
  <c r="V66" i="6" s="1"/>
  <c r="Y66" i="6" s="1"/>
  <c r="W66" i="6"/>
  <c r="Z66" i="6" s="1"/>
  <c r="P67" i="6"/>
  <c r="U67" i="6" s="1"/>
  <c r="S67" i="6"/>
  <c r="R67" i="6"/>
  <c r="T67" i="6"/>
  <c r="B69" i="6"/>
  <c r="K68" i="6"/>
  <c r="L68" i="1"/>
  <c r="R68" i="1" s="1"/>
  <c r="X68" i="1" s="1"/>
  <c r="AB68" i="1"/>
  <c r="M69" i="1"/>
  <c r="E69" i="1"/>
  <c r="J69" i="1" s="1"/>
  <c r="D69" i="1"/>
  <c r="I69" i="1" s="1"/>
  <c r="C69" i="1"/>
  <c r="H69" i="1" s="1"/>
  <c r="G69" i="1"/>
  <c r="F69" i="1"/>
  <c r="K69" i="1" s="1"/>
  <c r="S68" i="1"/>
  <c r="Y68" i="1" s="1"/>
  <c r="O68" i="1"/>
  <c r="U68" i="1" s="1"/>
  <c r="Q68" i="1"/>
  <c r="W68" i="1" s="1"/>
  <c r="P68" i="1"/>
  <c r="V68" i="1" s="1"/>
  <c r="N68" i="1"/>
  <c r="AA67" i="1"/>
  <c r="AD67" i="1" s="1"/>
  <c r="T67" i="1"/>
  <c r="Z67" i="1" s="1"/>
  <c r="AC67" i="1" s="1"/>
  <c r="B70" i="1"/>
  <c r="E69" i="6" l="1"/>
  <c r="I69" i="6" s="1"/>
  <c r="F69" i="6"/>
  <c r="D69" i="6"/>
  <c r="H69" i="6" s="1"/>
  <c r="C69" i="6"/>
  <c r="G69" i="6" s="1"/>
  <c r="K65" i="7"/>
  <c r="O65" i="7" s="1"/>
  <c r="M68" i="6"/>
  <c r="R68" i="6" s="1"/>
  <c r="N68" i="6"/>
  <c r="J68" i="6"/>
  <c r="O68" i="6" s="1"/>
  <c r="X68" i="6"/>
  <c r="J65" i="7"/>
  <c r="N65" i="7" s="1"/>
  <c r="T65" i="7"/>
  <c r="H65" i="7"/>
  <c r="L65" i="7" s="1"/>
  <c r="P65" i="7" s="1"/>
  <c r="E66" i="7"/>
  <c r="D66" i="7"/>
  <c r="G66" i="7" s="1"/>
  <c r="C66" i="7"/>
  <c r="J63" i="8"/>
  <c r="M63" i="8" s="1"/>
  <c r="H63" i="8"/>
  <c r="B65" i="8"/>
  <c r="D65" i="8" s="1"/>
  <c r="P65" i="8" s="1"/>
  <c r="G64" i="8"/>
  <c r="F64" i="8"/>
  <c r="I64" i="8" s="1"/>
  <c r="L64" i="8" s="1"/>
  <c r="C64" i="8"/>
  <c r="E64" i="8" s="1"/>
  <c r="K62" i="8"/>
  <c r="N62" i="8" s="1"/>
  <c r="Q62" i="8" s="1"/>
  <c r="O62" i="8"/>
  <c r="R62" i="8" s="1"/>
  <c r="M65" i="7"/>
  <c r="Q65" i="7" s="1"/>
  <c r="S64" i="7"/>
  <c r="V64" i="7" s="1"/>
  <c r="R64" i="7"/>
  <c r="U64" i="7" s="1"/>
  <c r="I66" i="7"/>
  <c r="B67" i="7"/>
  <c r="F66" i="7"/>
  <c r="J66" i="7" s="1"/>
  <c r="N66" i="7" s="1"/>
  <c r="P68" i="6"/>
  <c r="U68" i="6" s="1"/>
  <c r="S68" i="6"/>
  <c r="T68" i="6"/>
  <c r="Q67" i="6"/>
  <c r="V67" i="6" s="1"/>
  <c r="Y67" i="6" s="1"/>
  <c r="W67" i="6"/>
  <c r="Z67" i="6" s="1"/>
  <c r="B70" i="6"/>
  <c r="K69" i="6"/>
  <c r="N69" i="6" s="1"/>
  <c r="L69" i="1"/>
  <c r="R69" i="1" s="1"/>
  <c r="X69" i="1" s="1"/>
  <c r="AB69" i="1"/>
  <c r="M70" i="1"/>
  <c r="G70" i="1"/>
  <c r="E70" i="1"/>
  <c r="J70" i="1" s="1"/>
  <c r="D70" i="1"/>
  <c r="I70" i="1" s="1"/>
  <c r="C70" i="1"/>
  <c r="H70" i="1" s="1"/>
  <c r="F70" i="1"/>
  <c r="K70" i="1" s="1"/>
  <c r="S69" i="1"/>
  <c r="Y69" i="1" s="1"/>
  <c r="O69" i="1"/>
  <c r="U69" i="1" s="1"/>
  <c r="P69" i="1"/>
  <c r="V69" i="1" s="1"/>
  <c r="Q69" i="1"/>
  <c r="W69" i="1" s="1"/>
  <c r="N69" i="1"/>
  <c r="T68" i="1"/>
  <c r="Z68" i="1" s="1"/>
  <c r="AC68" i="1" s="1"/>
  <c r="AA68" i="1"/>
  <c r="AD68" i="1" s="1"/>
  <c r="B71" i="1"/>
  <c r="L69" i="6" l="1"/>
  <c r="M69" i="6"/>
  <c r="R69" i="6" s="1"/>
  <c r="J69" i="6"/>
  <c r="O69" i="6" s="1"/>
  <c r="T69" i="6" s="1"/>
  <c r="X69" i="6"/>
  <c r="C70" i="6"/>
  <c r="G70" i="6" s="1"/>
  <c r="F70" i="6"/>
  <c r="E70" i="6"/>
  <c r="I70" i="6" s="1"/>
  <c r="D70" i="6"/>
  <c r="H70" i="6" s="1"/>
  <c r="T66" i="7"/>
  <c r="H66" i="7"/>
  <c r="L66" i="7" s="1"/>
  <c r="P66" i="7" s="1"/>
  <c r="E67" i="7"/>
  <c r="D67" i="7"/>
  <c r="G67" i="7" s="1"/>
  <c r="K66" i="7"/>
  <c r="O66" i="7" s="1"/>
  <c r="C67" i="7"/>
  <c r="F67" i="7" s="1"/>
  <c r="J64" i="8"/>
  <c r="M64" i="8" s="1"/>
  <c r="H64" i="8"/>
  <c r="B66" i="8"/>
  <c r="D66" i="8" s="1"/>
  <c r="P66" i="8" s="1"/>
  <c r="G65" i="8"/>
  <c r="C65" i="8"/>
  <c r="E65" i="8" s="1"/>
  <c r="F65" i="8"/>
  <c r="I65" i="8" s="1"/>
  <c r="L65" i="8" s="1"/>
  <c r="O63" i="8"/>
  <c r="R63" i="8" s="1"/>
  <c r="K63" i="8"/>
  <c r="N63" i="8" s="1"/>
  <c r="Q63" i="8" s="1"/>
  <c r="B68" i="7"/>
  <c r="I67" i="7"/>
  <c r="M66" i="7"/>
  <c r="Q66" i="7" s="1"/>
  <c r="R65" i="7"/>
  <c r="U65" i="7" s="1"/>
  <c r="S65" i="7"/>
  <c r="V65" i="7" s="1"/>
  <c r="P69" i="6"/>
  <c r="U69" i="6" s="1"/>
  <c r="S69" i="6"/>
  <c r="B71" i="6"/>
  <c r="K70" i="6"/>
  <c r="W68" i="6"/>
  <c r="Z68" i="6" s="1"/>
  <c r="Q68" i="6"/>
  <c r="V68" i="6" s="1"/>
  <c r="Y68" i="6" s="1"/>
  <c r="L70" i="1"/>
  <c r="AB70" i="1"/>
  <c r="M71" i="1"/>
  <c r="C71" i="1"/>
  <c r="H71" i="1" s="1"/>
  <c r="E71" i="1"/>
  <c r="J71" i="1" s="1"/>
  <c r="D71" i="1"/>
  <c r="I71" i="1" s="1"/>
  <c r="F71" i="1"/>
  <c r="K71" i="1" s="1"/>
  <c r="G71" i="1"/>
  <c r="S70" i="1"/>
  <c r="P70" i="1"/>
  <c r="V70" i="1" s="1"/>
  <c r="N70" i="1"/>
  <c r="O70" i="1"/>
  <c r="U70" i="1" s="1"/>
  <c r="R70" i="1"/>
  <c r="X70" i="1" s="1"/>
  <c r="Q70" i="1"/>
  <c r="W70" i="1" s="1"/>
  <c r="T69" i="1"/>
  <c r="Z69" i="1" s="1"/>
  <c r="AC69" i="1" s="1"/>
  <c r="AA69" i="1"/>
  <c r="AD69" i="1" s="1"/>
  <c r="Y70" i="1"/>
  <c r="B72" i="1"/>
  <c r="K67" i="7" l="1"/>
  <c r="O67" i="7" s="1"/>
  <c r="F71" i="6"/>
  <c r="C71" i="6"/>
  <c r="G71" i="6" s="1"/>
  <c r="D71" i="6"/>
  <c r="H71" i="6" s="1"/>
  <c r="E71" i="6"/>
  <c r="I71" i="6" s="1"/>
  <c r="M70" i="6"/>
  <c r="R70" i="6" s="1"/>
  <c r="L70" i="6"/>
  <c r="N70" i="6"/>
  <c r="X70" i="6"/>
  <c r="J70" i="6"/>
  <c r="O70" i="6" s="1"/>
  <c r="E68" i="7"/>
  <c r="D68" i="7"/>
  <c r="G68" i="7" s="1"/>
  <c r="H67" i="7"/>
  <c r="L67" i="7" s="1"/>
  <c r="P67" i="7" s="1"/>
  <c r="T67" i="7"/>
  <c r="J67" i="7"/>
  <c r="N67" i="7" s="1"/>
  <c r="C68" i="7"/>
  <c r="F68" i="7" s="1"/>
  <c r="J68" i="7" s="1"/>
  <c r="N68" i="7" s="1"/>
  <c r="J65" i="8"/>
  <c r="M65" i="8" s="1"/>
  <c r="H65" i="8"/>
  <c r="G66" i="8"/>
  <c r="B67" i="8"/>
  <c r="D67" i="8" s="1"/>
  <c r="P67" i="8" s="1"/>
  <c r="C66" i="8"/>
  <c r="E66" i="8" s="1"/>
  <c r="F66" i="8"/>
  <c r="K64" i="8"/>
  <c r="N64" i="8" s="1"/>
  <c r="Q64" i="8" s="1"/>
  <c r="O64" i="8"/>
  <c r="R64" i="8" s="1"/>
  <c r="S66" i="7"/>
  <c r="V66" i="7" s="1"/>
  <c r="R66" i="7"/>
  <c r="U66" i="7" s="1"/>
  <c r="M67" i="7"/>
  <c r="Q67" i="7" s="1"/>
  <c r="B69" i="7"/>
  <c r="I68" i="7"/>
  <c r="P70" i="6"/>
  <c r="U70" i="6" s="1"/>
  <c r="S70" i="6"/>
  <c r="T70" i="6"/>
  <c r="K71" i="6"/>
  <c r="N71" i="6" s="1"/>
  <c r="B72" i="6"/>
  <c r="Q69" i="6"/>
  <c r="V69" i="6" s="1"/>
  <c r="Y69" i="6" s="1"/>
  <c r="W69" i="6"/>
  <c r="Z69" i="6" s="1"/>
  <c r="L71" i="1"/>
  <c r="R71" i="1" s="1"/>
  <c r="X71" i="1" s="1"/>
  <c r="AB71" i="1"/>
  <c r="M72" i="1"/>
  <c r="C72" i="1"/>
  <c r="H72" i="1" s="1"/>
  <c r="D72" i="1"/>
  <c r="I72" i="1" s="1"/>
  <c r="E72" i="1"/>
  <c r="J72" i="1" s="1"/>
  <c r="F72" i="1"/>
  <c r="K72" i="1" s="1"/>
  <c r="G72" i="1"/>
  <c r="S71" i="1"/>
  <c r="Y71" i="1" s="1"/>
  <c r="Q71" i="1"/>
  <c r="W71" i="1" s="1"/>
  <c r="P71" i="1"/>
  <c r="V71" i="1" s="1"/>
  <c r="O71" i="1"/>
  <c r="U71" i="1" s="1"/>
  <c r="N71" i="1"/>
  <c r="AA70" i="1"/>
  <c r="AD70" i="1" s="1"/>
  <c r="T70" i="1"/>
  <c r="Z70" i="1" s="1"/>
  <c r="AC70" i="1" s="1"/>
  <c r="B73" i="1"/>
  <c r="X71" i="6" l="1"/>
  <c r="J71" i="6"/>
  <c r="O71" i="6" s="1"/>
  <c r="T71" i="6" s="1"/>
  <c r="F72" i="6"/>
  <c r="C72" i="6"/>
  <c r="G72" i="6" s="1"/>
  <c r="D72" i="6"/>
  <c r="H72" i="6" s="1"/>
  <c r="E72" i="6"/>
  <c r="I72" i="6" s="1"/>
  <c r="I66" i="8"/>
  <c r="L66" i="8" s="1"/>
  <c r="M71" i="6"/>
  <c r="L71" i="6"/>
  <c r="E69" i="7"/>
  <c r="D69" i="7"/>
  <c r="G69" i="7" s="1"/>
  <c r="K68" i="7"/>
  <c r="O68" i="7" s="1"/>
  <c r="T68" i="7"/>
  <c r="H68" i="7"/>
  <c r="L68" i="7" s="1"/>
  <c r="P68" i="7" s="1"/>
  <c r="C69" i="7"/>
  <c r="F69" i="7" s="1"/>
  <c r="G67" i="8"/>
  <c r="B68" i="8"/>
  <c r="D68" i="8" s="1"/>
  <c r="P68" i="8" s="1"/>
  <c r="C67" i="8"/>
  <c r="E67" i="8" s="1"/>
  <c r="F67" i="8"/>
  <c r="J66" i="8"/>
  <c r="M66" i="8" s="1"/>
  <c r="H66" i="8"/>
  <c r="O65" i="8"/>
  <c r="R65" i="8" s="1"/>
  <c r="K65" i="8"/>
  <c r="N65" i="8" s="1"/>
  <c r="Q65" i="8" s="1"/>
  <c r="M68" i="7"/>
  <c r="Q68" i="7" s="1"/>
  <c r="I69" i="7"/>
  <c r="B70" i="7"/>
  <c r="S67" i="7"/>
  <c r="V67" i="7" s="1"/>
  <c r="R67" i="7"/>
  <c r="U67" i="7" s="1"/>
  <c r="K72" i="6"/>
  <c r="M72" i="6" s="1"/>
  <c r="B73" i="6"/>
  <c r="P71" i="6"/>
  <c r="U71" i="6" s="1"/>
  <c r="S71" i="6"/>
  <c r="R71" i="6"/>
  <c r="W70" i="6"/>
  <c r="Z70" i="6" s="1"/>
  <c r="Q70" i="6"/>
  <c r="V70" i="6" s="1"/>
  <c r="Y70" i="6" s="1"/>
  <c r="L72" i="1"/>
  <c r="R72" i="1" s="1"/>
  <c r="X72" i="1" s="1"/>
  <c r="AB72" i="1"/>
  <c r="M73" i="1"/>
  <c r="E73" i="1"/>
  <c r="J73" i="1" s="1"/>
  <c r="F73" i="1"/>
  <c r="K73" i="1" s="1"/>
  <c r="G73" i="1"/>
  <c r="D73" i="1"/>
  <c r="I73" i="1" s="1"/>
  <c r="C73" i="1"/>
  <c r="H73" i="1" s="1"/>
  <c r="S72" i="1"/>
  <c r="Y72" i="1" s="1"/>
  <c r="O72" i="1"/>
  <c r="U72" i="1" s="1"/>
  <c r="N72" i="1"/>
  <c r="P72" i="1"/>
  <c r="V72" i="1" s="1"/>
  <c r="Q72" i="1"/>
  <c r="W72" i="1" s="1"/>
  <c r="AA71" i="1"/>
  <c r="AD71" i="1" s="1"/>
  <c r="T71" i="1"/>
  <c r="Z71" i="1" s="1"/>
  <c r="AC71" i="1" s="1"/>
  <c r="B74" i="1"/>
  <c r="E73" i="6" l="1"/>
  <c r="I73" i="6" s="1"/>
  <c r="F73" i="6"/>
  <c r="C73" i="6"/>
  <c r="G73" i="6" s="1"/>
  <c r="D73" i="6"/>
  <c r="H73" i="6" s="1"/>
  <c r="N72" i="6"/>
  <c r="L72" i="6"/>
  <c r="X72" i="6"/>
  <c r="J72" i="6"/>
  <c r="O72" i="6" s="1"/>
  <c r="T72" i="6" s="1"/>
  <c r="K69" i="7"/>
  <c r="O69" i="7" s="1"/>
  <c r="J69" i="7"/>
  <c r="N69" i="7" s="1"/>
  <c r="D70" i="7"/>
  <c r="E70" i="7"/>
  <c r="T69" i="7"/>
  <c r="H69" i="7"/>
  <c r="L69" i="7" s="1"/>
  <c r="P69" i="7" s="1"/>
  <c r="I67" i="8"/>
  <c r="L67" i="8" s="1"/>
  <c r="C70" i="7"/>
  <c r="F70" i="7" s="1"/>
  <c r="K66" i="8"/>
  <c r="N66" i="8" s="1"/>
  <c r="Q66" i="8" s="1"/>
  <c r="O66" i="8"/>
  <c r="R66" i="8" s="1"/>
  <c r="B69" i="8"/>
  <c r="D69" i="8" s="1"/>
  <c r="P69" i="8" s="1"/>
  <c r="G68" i="8"/>
  <c r="F68" i="8"/>
  <c r="I68" i="8" s="1"/>
  <c r="L68" i="8" s="1"/>
  <c r="C68" i="8"/>
  <c r="E68" i="8" s="1"/>
  <c r="J67" i="8"/>
  <c r="M67" i="8" s="1"/>
  <c r="H67" i="8"/>
  <c r="S68" i="7"/>
  <c r="V68" i="7" s="1"/>
  <c r="R68" i="7"/>
  <c r="U68" i="7" s="1"/>
  <c r="I70" i="7"/>
  <c r="B71" i="7"/>
  <c r="G70" i="7"/>
  <c r="K70" i="7" s="1"/>
  <c r="O70" i="7" s="1"/>
  <c r="M69" i="7"/>
  <c r="Q69" i="7" s="1"/>
  <c r="Q71" i="6"/>
  <c r="V71" i="6" s="1"/>
  <c r="Y71" i="6" s="1"/>
  <c r="W71" i="6"/>
  <c r="Z71" i="6" s="1"/>
  <c r="B74" i="6"/>
  <c r="K73" i="6"/>
  <c r="N73" i="6" s="1"/>
  <c r="P72" i="6"/>
  <c r="U72" i="6" s="1"/>
  <c r="S72" i="6"/>
  <c r="R72" i="6"/>
  <c r="L73" i="1"/>
  <c r="R73" i="1" s="1"/>
  <c r="X73" i="1" s="1"/>
  <c r="AB73" i="1"/>
  <c r="S73" i="1"/>
  <c r="Y73" i="1" s="1"/>
  <c r="P73" i="1"/>
  <c r="V73" i="1" s="1"/>
  <c r="N73" i="1"/>
  <c r="O73" i="1"/>
  <c r="U73" i="1" s="1"/>
  <c r="Q73" i="1"/>
  <c r="W73" i="1" s="1"/>
  <c r="M74" i="1"/>
  <c r="F74" i="1"/>
  <c r="K74" i="1" s="1"/>
  <c r="E74" i="1"/>
  <c r="J74" i="1" s="1"/>
  <c r="D74" i="1"/>
  <c r="I74" i="1" s="1"/>
  <c r="G74" i="1"/>
  <c r="C74" i="1"/>
  <c r="H74" i="1" s="1"/>
  <c r="T72" i="1"/>
  <c r="Z72" i="1" s="1"/>
  <c r="AC72" i="1" s="1"/>
  <c r="AA72" i="1"/>
  <c r="AD72" i="1" s="1"/>
  <c r="B75" i="1"/>
  <c r="F74" i="6" l="1"/>
  <c r="D74" i="6"/>
  <c r="H74" i="6" s="1"/>
  <c r="M74" i="6" s="1"/>
  <c r="C74" i="6"/>
  <c r="G74" i="6" s="1"/>
  <c r="E74" i="6"/>
  <c r="I74" i="6" s="1"/>
  <c r="J70" i="7"/>
  <c r="N70" i="7" s="1"/>
  <c r="M73" i="6"/>
  <c r="L73" i="6"/>
  <c r="X73" i="6"/>
  <c r="J73" i="6"/>
  <c r="O73" i="6" s="1"/>
  <c r="D71" i="7"/>
  <c r="E71" i="7"/>
  <c r="H70" i="7"/>
  <c r="L70" i="7" s="1"/>
  <c r="P70" i="7" s="1"/>
  <c r="T70" i="7"/>
  <c r="C71" i="7"/>
  <c r="F71" i="7" s="1"/>
  <c r="J71" i="7" s="1"/>
  <c r="N71" i="7" s="1"/>
  <c r="K67" i="8"/>
  <c r="N67" i="8" s="1"/>
  <c r="Q67" i="8" s="1"/>
  <c r="O67" i="8"/>
  <c r="R67" i="8" s="1"/>
  <c r="J68" i="8"/>
  <c r="M68" i="8" s="1"/>
  <c r="H68" i="8"/>
  <c r="B70" i="8"/>
  <c r="D70" i="8" s="1"/>
  <c r="P70" i="8" s="1"/>
  <c r="G69" i="8"/>
  <c r="C69" i="8"/>
  <c r="E69" i="8" s="1"/>
  <c r="F69" i="8"/>
  <c r="B72" i="7"/>
  <c r="I71" i="7"/>
  <c r="G71" i="7"/>
  <c r="R69" i="7"/>
  <c r="U69" i="7" s="1"/>
  <c r="S69" i="7"/>
  <c r="V69" i="7" s="1"/>
  <c r="M70" i="7"/>
  <c r="Q70" i="7" s="1"/>
  <c r="Q72" i="6"/>
  <c r="V72" i="6" s="1"/>
  <c r="Y72" i="6" s="1"/>
  <c r="W72" i="6"/>
  <c r="Z72" i="6" s="1"/>
  <c r="P73" i="6"/>
  <c r="U73" i="6" s="1"/>
  <c r="S73" i="6"/>
  <c r="T73" i="6"/>
  <c r="R73" i="6"/>
  <c r="B75" i="6"/>
  <c r="K74" i="6"/>
  <c r="L74" i="6" s="1"/>
  <c r="L74" i="1"/>
  <c r="R74" i="1" s="1"/>
  <c r="X74" i="1" s="1"/>
  <c r="AB74" i="1"/>
  <c r="M75" i="1"/>
  <c r="D75" i="1"/>
  <c r="I75" i="1" s="1"/>
  <c r="G75" i="1"/>
  <c r="F75" i="1"/>
  <c r="K75" i="1" s="1"/>
  <c r="E75" i="1"/>
  <c r="J75" i="1" s="1"/>
  <c r="C75" i="1"/>
  <c r="H75" i="1" s="1"/>
  <c r="S74" i="1"/>
  <c r="Y74" i="1" s="1"/>
  <c r="Q74" i="1"/>
  <c r="W74" i="1" s="1"/>
  <c r="P74" i="1"/>
  <c r="V74" i="1" s="1"/>
  <c r="N74" i="1"/>
  <c r="O74" i="1"/>
  <c r="U74" i="1" s="1"/>
  <c r="T73" i="1"/>
  <c r="Z73" i="1" s="1"/>
  <c r="AC73" i="1" s="1"/>
  <c r="AA73" i="1"/>
  <c r="AD73" i="1" s="1"/>
  <c r="B76" i="1"/>
  <c r="F75" i="6" l="1"/>
  <c r="C75" i="6"/>
  <c r="G75" i="6" s="1"/>
  <c r="L75" i="6" s="1"/>
  <c r="D75" i="6"/>
  <c r="H75" i="6" s="1"/>
  <c r="M75" i="6" s="1"/>
  <c r="E75" i="6"/>
  <c r="I75" i="6" s="1"/>
  <c r="J74" i="6"/>
  <c r="O74" i="6" s="1"/>
  <c r="X74" i="6"/>
  <c r="N74" i="6"/>
  <c r="E72" i="7"/>
  <c r="D72" i="7"/>
  <c r="T71" i="7"/>
  <c r="H71" i="7"/>
  <c r="L71" i="7" s="1"/>
  <c r="P71" i="7" s="1"/>
  <c r="K71" i="7"/>
  <c r="O71" i="7" s="1"/>
  <c r="I69" i="8"/>
  <c r="L69" i="8" s="1"/>
  <c r="C72" i="7"/>
  <c r="F72" i="7" s="1"/>
  <c r="G72" i="7"/>
  <c r="J69" i="8"/>
  <c r="M69" i="8" s="1"/>
  <c r="H69" i="8"/>
  <c r="G70" i="8"/>
  <c r="B71" i="8"/>
  <c r="D71" i="8" s="1"/>
  <c r="P71" i="8" s="1"/>
  <c r="C70" i="8"/>
  <c r="E70" i="8" s="1"/>
  <c r="F70" i="8"/>
  <c r="K68" i="8"/>
  <c r="N68" i="8" s="1"/>
  <c r="Q68" i="8" s="1"/>
  <c r="O68" i="8"/>
  <c r="R68" i="8" s="1"/>
  <c r="M71" i="7"/>
  <c r="Q71" i="7" s="1"/>
  <c r="R70" i="7"/>
  <c r="U70" i="7" s="1"/>
  <c r="S70" i="7"/>
  <c r="V70" i="7" s="1"/>
  <c r="B73" i="7"/>
  <c r="I72" i="7"/>
  <c r="P74" i="6"/>
  <c r="U74" i="6" s="1"/>
  <c r="S74" i="6"/>
  <c r="T74" i="6"/>
  <c r="R74" i="6"/>
  <c r="K75" i="6"/>
  <c r="B76" i="6"/>
  <c r="Q73" i="6"/>
  <c r="V73" i="6" s="1"/>
  <c r="Y73" i="6" s="1"/>
  <c r="W73" i="6"/>
  <c r="Z73" i="6" s="1"/>
  <c r="L75" i="1"/>
  <c r="R75" i="1" s="1"/>
  <c r="X75" i="1" s="1"/>
  <c r="AB75" i="1"/>
  <c r="M76" i="1"/>
  <c r="E76" i="1"/>
  <c r="J76" i="1" s="1"/>
  <c r="F76" i="1"/>
  <c r="K76" i="1" s="1"/>
  <c r="G76" i="1"/>
  <c r="C76" i="1"/>
  <c r="H76" i="1" s="1"/>
  <c r="D76" i="1"/>
  <c r="I76" i="1" s="1"/>
  <c r="S75" i="1"/>
  <c r="Y75" i="1" s="1"/>
  <c r="O75" i="1"/>
  <c r="U75" i="1" s="1"/>
  <c r="N75" i="1"/>
  <c r="P75" i="1"/>
  <c r="V75" i="1" s="1"/>
  <c r="Q75" i="1"/>
  <c r="W75" i="1" s="1"/>
  <c r="AA74" i="1"/>
  <c r="AD74" i="1" s="1"/>
  <c r="T74" i="1"/>
  <c r="Z74" i="1" s="1"/>
  <c r="AC74" i="1" s="1"/>
  <c r="B77" i="1"/>
  <c r="J72" i="7" l="1"/>
  <c r="N72" i="7" s="1"/>
  <c r="N75" i="6"/>
  <c r="S75" i="6" s="1"/>
  <c r="I70" i="8"/>
  <c r="L70" i="8" s="1"/>
  <c r="J75" i="6"/>
  <c r="O75" i="6" s="1"/>
  <c r="T75" i="6" s="1"/>
  <c r="X75" i="6"/>
  <c r="E76" i="6"/>
  <c r="I76" i="6" s="1"/>
  <c r="F76" i="6"/>
  <c r="D76" i="6"/>
  <c r="H76" i="6" s="1"/>
  <c r="C76" i="6"/>
  <c r="G76" i="6" s="1"/>
  <c r="K72" i="7"/>
  <c r="O72" i="7" s="1"/>
  <c r="D73" i="7"/>
  <c r="E73" i="7"/>
  <c r="T72" i="7"/>
  <c r="H72" i="7"/>
  <c r="L72" i="7" s="1"/>
  <c r="P72" i="7" s="1"/>
  <c r="C73" i="7"/>
  <c r="F73" i="7" s="1"/>
  <c r="G71" i="8"/>
  <c r="B72" i="8"/>
  <c r="D72" i="8" s="1"/>
  <c r="P72" i="8" s="1"/>
  <c r="F71" i="8"/>
  <c r="I71" i="8" s="1"/>
  <c r="L71" i="8" s="1"/>
  <c r="C71" i="8"/>
  <c r="E71" i="8" s="1"/>
  <c r="J70" i="8"/>
  <c r="M70" i="8" s="1"/>
  <c r="H70" i="8"/>
  <c r="O69" i="8"/>
  <c r="R69" i="8" s="1"/>
  <c r="K69" i="8"/>
  <c r="N69" i="8" s="1"/>
  <c r="Q69" i="8" s="1"/>
  <c r="M72" i="7"/>
  <c r="Q72" i="7" s="1"/>
  <c r="I73" i="7"/>
  <c r="B74" i="7"/>
  <c r="G73" i="7"/>
  <c r="R71" i="7"/>
  <c r="U71" i="7" s="1"/>
  <c r="S71" i="7"/>
  <c r="V71" i="7" s="1"/>
  <c r="K76" i="6"/>
  <c r="N76" i="6" s="1"/>
  <c r="B77" i="6"/>
  <c r="P75" i="6"/>
  <c r="U75" i="6" s="1"/>
  <c r="R75" i="6"/>
  <c r="W74" i="6"/>
  <c r="Z74" i="6" s="1"/>
  <c r="Q74" i="6"/>
  <c r="V74" i="6" s="1"/>
  <c r="Y74" i="6" s="1"/>
  <c r="L76" i="1"/>
  <c r="R76" i="1" s="1"/>
  <c r="X76" i="1" s="1"/>
  <c r="AB76" i="1"/>
  <c r="M77" i="1"/>
  <c r="E77" i="1"/>
  <c r="J77" i="1" s="1"/>
  <c r="F77" i="1"/>
  <c r="K77" i="1" s="1"/>
  <c r="G77" i="1"/>
  <c r="D77" i="1"/>
  <c r="I77" i="1" s="1"/>
  <c r="C77" i="1"/>
  <c r="H77" i="1" s="1"/>
  <c r="S76" i="1"/>
  <c r="Y76" i="1" s="1"/>
  <c r="P76" i="1"/>
  <c r="V76" i="1" s="1"/>
  <c r="Q76" i="1"/>
  <c r="W76" i="1" s="1"/>
  <c r="N76" i="1"/>
  <c r="O76" i="1"/>
  <c r="U76" i="1" s="1"/>
  <c r="T75" i="1"/>
  <c r="Z75" i="1" s="1"/>
  <c r="AC75" i="1" s="1"/>
  <c r="AA75" i="1"/>
  <c r="AD75" i="1" s="1"/>
  <c r="B78" i="1"/>
  <c r="L76" i="6" l="1"/>
  <c r="M76" i="6"/>
  <c r="D77" i="6"/>
  <c r="H77" i="6" s="1"/>
  <c r="E77" i="6"/>
  <c r="I77" i="6" s="1"/>
  <c r="F77" i="6"/>
  <c r="C77" i="6"/>
  <c r="G77" i="6" s="1"/>
  <c r="J76" i="6"/>
  <c r="O76" i="6" s="1"/>
  <c r="T76" i="6" s="1"/>
  <c r="X76" i="6"/>
  <c r="E74" i="7"/>
  <c r="D74" i="7"/>
  <c r="G74" i="7" s="1"/>
  <c r="H73" i="7"/>
  <c r="L73" i="7" s="1"/>
  <c r="P73" i="7" s="1"/>
  <c r="T73" i="7"/>
  <c r="K73" i="7"/>
  <c r="O73" i="7" s="1"/>
  <c r="J73" i="7"/>
  <c r="N73" i="7" s="1"/>
  <c r="C74" i="7"/>
  <c r="F74" i="7" s="1"/>
  <c r="B73" i="8"/>
  <c r="D73" i="8" s="1"/>
  <c r="P73" i="8" s="1"/>
  <c r="G72" i="8"/>
  <c r="C72" i="8"/>
  <c r="E72" i="8" s="1"/>
  <c r="F72" i="8"/>
  <c r="K70" i="8"/>
  <c r="N70" i="8" s="1"/>
  <c r="Q70" i="8" s="1"/>
  <c r="O70" i="8"/>
  <c r="R70" i="8" s="1"/>
  <c r="J71" i="8"/>
  <c r="M71" i="8" s="1"/>
  <c r="H71" i="8"/>
  <c r="I74" i="7"/>
  <c r="B75" i="7"/>
  <c r="M73" i="7"/>
  <c r="Q73" i="7" s="1"/>
  <c r="S72" i="7"/>
  <c r="V72" i="7" s="1"/>
  <c r="R72" i="7"/>
  <c r="U72" i="7" s="1"/>
  <c r="Q75" i="6"/>
  <c r="V75" i="6" s="1"/>
  <c r="Y75" i="6" s="1"/>
  <c r="W75" i="6"/>
  <c r="Z75" i="6" s="1"/>
  <c r="B78" i="6"/>
  <c r="K77" i="6"/>
  <c r="N77" i="6" s="1"/>
  <c r="P76" i="6"/>
  <c r="U76" i="6" s="1"/>
  <c r="S76" i="6"/>
  <c r="R76" i="6"/>
  <c r="L77" i="1"/>
  <c r="R77" i="1" s="1"/>
  <c r="X77" i="1" s="1"/>
  <c r="AB77" i="1"/>
  <c r="M78" i="1"/>
  <c r="C78" i="1"/>
  <c r="H78" i="1" s="1"/>
  <c r="F78" i="1"/>
  <c r="K78" i="1" s="1"/>
  <c r="G78" i="1"/>
  <c r="E78" i="1"/>
  <c r="J78" i="1" s="1"/>
  <c r="D78" i="1"/>
  <c r="I78" i="1" s="1"/>
  <c r="S77" i="1"/>
  <c r="Y77" i="1" s="1"/>
  <c r="O77" i="1"/>
  <c r="U77" i="1" s="1"/>
  <c r="N77" i="1"/>
  <c r="Q77" i="1"/>
  <c r="W77" i="1" s="1"/>
  <c r="P77" i="1"/>
  <c r="V77" i="1" s="1"/>
  <c r="AA76" i="1"/>
  <c r="AD76" i="1" s="1"/>
  <c r="T76" i="1"/>
  <c r="Z76" i="1" s="1"/>
  <c r="AC76" i="1" s="1"/>
  <c r="B79" i="1"/>
  <c r="C78" i="6" l="1"/>
  <c r="G78" i="6" s="1"/>
  <c r="E78" i="6"/>
  <c r="I78" i="6" s="1"/>
  <c r="F78" i="6"/>
  <c r="D78" i="6"/>
  <c r="H78" i="6" s="1"/>
  <c r="L77" i="6"/>
  <c r="M77" i="6"/>
  <c r="R77" i="6" s="1"/>
  <c r="J77" i="6"/>
  <c r="O77" i="6" s="1"/>
  <c r="X77" i="6"/>
  <c r="J74" i="7"/>
  <c r="N74" i="7" s="1"/>
  <c r="K74" i="7"/>
  <c r="O74" i="7" s="1"/>
  <c r="E75" i="7"/>
  <c r="D75" i="7"/>
  <c r="G75" i="7" s="1"/>
  <c r="T74" i="7"/>
  <c r="H74" i="7"/>
  <c r="L74" i="7" s="1"/>
  <c r="P74" i="7" s="1"/>
  <c r="I72" i="8"/>
  <c r="L72" i="8" s="1"/>
  <c r="C75" i="7"/>
  <c r="F75" i="7" s="1"/>
  <c r="K71" i="8"/>
  <c r="N71" i="8" s="1"/>
  <c r="Q71" i="8" s="1"/>
  <c r="O71" i="8"/>
  <c r="R71" i="8" s="1"/>
  <c r="J72" i="8"/>
  <c r="M72" i="8" s="1"/>
  <c r="H72" i="8"/>
  <c r="B74" i="8"/>
  <c r="D74" i="8" s="1"/>
  <c r="P74" i="8" s="1"/>
  <c r="G73" i="8"/>
  <c r="C73" i="8"/>
  <c r="E73" i="8" s="1"/>
  <c r="F73" i="8"/>
  <c r="R73" i="7"/>
  <c r="U73" i="7" s="1"/>
  <c r="S73" i="7"/>
  <c r="V73" i="7" s="1"/>
  <c r="B76" i="7"/>
  <c r="I75" i="7"/>
  <c r="M74" i="7"/>
  <c r="Q74" i="7" s="1"/>
  <c r="Q76" i="6"/>
  <c r="V76" i="6" s="1"/>
  <c r="Y76" i="6" s="1"/>
  <c r="W76" i="6"/>
  <c r="Z76" i="6" s="1"/>
  <c r="P77" i="6"/>
  <c r="U77" i="6" s="1"/>
  <c r="S77" i="6"/>
  <c r="T77" i="6"/>
  <c r="B79" i="6"/>
  <c r="K78" i="6"/>
  <c r="L78" i="6" s="1"/>
  <c r="L78" i="1"/>
  <c r="AB78" i="1"/>
  <c r="M79" i="1"/>
  <c r="E79" i="1"/>
  <c r="J79" i="1" s="1"/>
  <c r="D79" i="1"/>
  <c r="I79" i="1" s="1"/>
  <c r="C79" i="1"/>
  <c r="H79" i="1" s="1"/>
  <c r="F79" i="1"/>
  <c r="K79" i="1" s="1"/>
  <c r="G79" i="1"/>
  <c r="S78" i="1"/>
  <c r="Y78" i="1" s="1"/>
  <c r="P78" i="1"/>
  <c r="V78" i="1" s="1"/>
  <c r="Q78" i="1"/>
  <c r="W78" i="1" s="1"/>
  <c r="N78" i="1"/>
  <c r="R78" i="1"/>
  <c r="X78" i="1" s="1"/>
  <c r="O78" i="1"/>
  <c r="U78" i="1" s="1"/>
  <c r="T77" i="1"/>
  <c r="Z77" i="1" s="1"/>
  <c r="AC77" i="1" s="1"/>
  <c r="AA77" i="1"/>
  <c r="AD77" i="1" s="1"/>
  <c r="B80" i="1"/>
  <c r="K75" i="7" l="1"/>
  <c r="O75" i="7" s="1"/>
  <c r="C79" i="6"/>
  <c r="G79" i="6" s="1"/>
  <c r="F79" i="6"/>
  <c r="D79" i="6"/>
  <c r="H79" i="6" s="1"/>
  <c r="E79" i="6"/>
  <c r="I79" i="6" s="1"/>
  <c r="J75" i="7"/>
  <c r="N75" i="7" s="1"/>
  <c r="M78" i="6"/>
  <c r="J78" i="6"/>
  <c r="O78" i="6" s="1"/>
  <c r="X78" i="6"/>
  <c r="N78" i="6"/>
  <c r="E76" i="7"/>
  <c r="D76" i="7"/>
  <c r="G76" i="7" s="1"/>
  <c r="H75" i="7"/>
  <c r="L75" i="7" s="1"/>
  <c r="P75" i="7" s="1"/>
  <c r="T75" i="7"/>
  <c r="I73" i="8"/>
  <c r="L73" i="8" s="1"/>
  <c r="C76" i="7"/>
  <c r="F76" i="7" s="1"/>
  <c r="K72" i="8"/>
  <c r="N72" i="8" s="1"/>
  <c r="Q72" i="8" s="1"/>
  <c r="O72" i="8"/>
  <c r="R72" i="8" s="1"/>
  <c r="J73" i="8"/>
  <c r="M73" i="8" s="1"/>
  <c r="H73" i="8"/>
  <c r="G74" i="8"/>
  <c r="B75" i="8"/>
  <c r="D75" i="8" s="1"/>
  <c r="P75" i="8" s="1"/>
  <c r="F74" i="8"/>
  <c r="C74" i="8"/>
  <c r="E74" i="8" s="1"/>
  <c r="R74" i="7"/>
  <c r="U74" i="7" s="1"/>
  <c r="S74" i="7"/>
  <c r="V74" i="7" s="1"/>
  <c r="M75" i="7"/>
  <c r="Q75" i="7" s="1"/>
  <c r="B77" i="7"/>
  <c r="I76" i="7"/>
  <c r="P78" i="6"/>
  <c r="U78" i="6" s="1"/>
  <c r="S78" i="6"/>
  <c r="T78" i="6"/>
  <c r="R78" i="6"/>
  <c r="Q77" i="6"/>
  <c r="V77" i="6" s="1"/>
  <c r="Y77" i="6" s="1"/>
  <c r="W77" i="6"/>
  <c r="Z77" i="6" s="1"/>
  <c r="K79" i="6"/>
  <c r="N79" i="6" s="1"/>
  <c r="B80" i="6"/>
  <c r="L79" i="1"/>
  <c r="AB79" i="1"/>
  <c r="M80" i="1"/>
  <c r="D80" i="1"/>
  <c r="I80" i="1" s="1"/>
  <c r="E80" i="1"/>
  <c r="J80" i="1" s="1"/>
  <c r="G80" i="1"/>
  <c r="C80" i="1"/>
  <c r="H80" i="1" s="1"/>
  <c r="F80" i="1"/>
  <c r="K80" i="1" s="1"/>
  <c r="S79" i="1"/>
  <c r="Y79" i="1" s="1"/>
  <c r="Q79" i="1"/>
  <c r="W79" i="1" s="1"/>
  <c r="N79" i="1"/>
  <c r="P79" i="1"/>
  <c r="V79" i="1" s="1"/>
  <c r="O79" i="1"/>
  <c r="U79" i="1" s="1"/>
  <c r="R79" i="1"/>
  <c r="X79" i="1" s="1"/>
  <c r="AA78" i="1"/>
  <c r="AD78" i="1" s="1"/>
  <c r="T78" i="1"/>
  <c r="Z78" i="1" s="1"/>
  <c r="AC78" i="1" s="1"/>
  <c r="B81" i="1"/>
  <c r="K76" i="7" l="1"/>
  <c r="O76" i="7" s="1"/>
  <c r="M79" i="6"/>
  <c r="J79" i="6"/>
  <c r="O79" i="6" s="1"/>
  <c r="X79" i="6"/>
  <c r="D80" i="6"/>
  <c r="H80" i="6" s="1"/>
  <c r="C80" i="6"/>
  <c r="G80" i="6" s="1"/>
  <c r="E80" i="6"/>
  <c r="I80" i="6" s="1"/>
  <c r="F80" i="6"/>
  <c r="L79" i="6"/>
  <c r="E77" i="7"/>
  <c r="D77" i="7"/>
  <c r="G77" i="7" s="1"/>
  <c r="J76" i="7"/>
  <c r="N76" i="7" s="1"/>
  <c r="H76" i="7"/>
  <c r="L76" i="7" s="1"/>
  <c r="P76" i="7" s="1"/>
  <c r="T76" i="7"/>
  <c r="I74" i="8"/>
  <c r="L74" i="8" s="1"/>
  <c r="C77" i="7"/>
  <c r="F77" i="7" s="1"/>
  <c r="G75" i="8"/>
  <c r="C75" i="8"/>
  <c r="E75" i="8" s="1"/>
  <c r="F75" i="8"/>
  <c r="J74" i="8"/>
  <c r="M74" i="8" s="1"/>
  <c r="H74" i="8"/>
  <c r="O73" i="8"/>
  <c r="R73" i="8" s="1"/>
  <c r="K73" i="8"/>
  <c r="N73" i="8" s="1"/>
  <c r="Q73" i="8" s="1"/>
  <c r="M76" i="7"/>
  <c r="Q76" i="7" s="1"/>
  <c r="I77" i="7"/>
  <c r="B78" i="7"/>
  <c r="R75" i="7"/>
  <c r="U75" i="7" s="1"/>
  <c r="S75" i="7"/>
  <c r="V75" i="7" s="1"/>
  <c r="K80" i="6"/>
  <c r="P79" i="6"/>
  <c r="U79" i="6" s="1"/>
  <c r="S79" i="6"/>
  <c r="T79" i="6"/>
  <c r="R79" i="6"/>
  <c r="W78" i="6"/>
  <c r="Z78" i="6" s="1"/>
  <c r="Q78" i="6"/>
  <c r="V78" i="6" s="1"/>
  <c r="Y78" i="6" s="1"/>
  <c r="L80" i="1"/>
  <c r="R80" i="1" s="1"/>
  <c r="X80" i="1" s="1"/>
  <c r="AB80" i="1"/>
  <c r="M81" i="1"/>
  <c r="F81" i="1"/>
  <c r="K81" i="1" s="1"/>
  <c r="E81" i="1"/>
  <c r="J81" i="1" s="1"/>
  <c r="D81" i="1"/>
  <c r="I81" i="1" s="1"/>
  <c r="C81" i="1"/>
  <c r="H81" i="1" s="1"/>
  <c r="G81" i="1"/>
  <c r="S80" i="1"/>
  <c r="Y80" i="1" s="1"/>
  <c r="Q80" i="1"/>
  <c r="W80" i="1" s="1"/>
  <c r="N80" i="1"/>
  <c r="P80" i="1"/>
  <c r="V80" i="1" s="1"/>
  <c r="O80" i="1"/>
  <c r="U80" i="1" s="1"/>
  <c r="AA79" i="1"/>
  <c r="AD79" i="1" s="1"/>
  <c r="T79" i="1"/>
  <c r="Z79" i="1" s="1"/>
  <c r="AC79" i="1" s="1"/>
  <c r="B82" i="1"/>
  <c r="J80" i="6" l="1"/>
  <c r="O80" i="6" s="1"/>
  <c r="X80" i="6"/>
  <c r="N80" i="6"/>
  <c r="L80" i="6"/>
  <c r="M80" i="6"/>
  <c r="R80" i="6" s="1"/>
  <c r="J77" i="7"/>
  <c r="N77" i="7" s="1"/>
  <c r="K77" i="7"/>
  <c r="O77" i="7" s="1"/>
  <c r="D78" i="7"/>
  <c r="G78" i="7" s="1"/>
  <c r="E78" i="7"/>
  <c r="H77" i="7"/>
  <c r="L77" i="7" s="1"/>
  <c r="P77" i="7" s="1"/>
  <c r="T77" i="7"/>
  <c r="I75" i="8"/>
  <c r="L75" i="8" s="1"/>
  <c r="C78" i="7"/>
  <c r="F78" i="7" s="1"/>
  <c r="K74" i="8"/>
  <c r="N74" i="8" s="1"/>
  <c r="Q74" i="8" s="1"/>
  <c r="O74" i="8"/>
  <c r="R74" i="8" s="1"/>
  <c r="J75" i="8"/>
  <c r="M75" i="8" s="1"/>
  <c r="H75" i="8"/>
  <c r="I78" i="7"/>
  <c r="S76" i="7"/>
  <c r="V76" i="7" s="1"/>
  <c r="R76" i="7"/>
  <c r="U76" i="7" s="1"/>
  <c r="M77" i="7"/>
  <c r="Q77" i="7" s="1"/>
  <c r="P80" i="6"/>
  <c r="U80" i="6" s="1"/>
  <c r="S80" i="6"/>
  <c r="T80" i="6"/>
  <c r="Q79" i="6"/>
  <c r="V79" i="6" s="1"/>
  <c r="Y79" i="6" s="1"/>
  <c r="W79" i="6"/>
  <c r="Z79" i="6" s="1"/>
  <c r="L81" i="1"/>
  <c r="R81" i="1" s="1"/>
  <c r="X81" i="1" s="1"/>
  <c r="AB81" i="1"/>
  <c r="M82" i="1"/>
  <c r="C82" i="1"/>
  <c r="H82" i="1" s="1"/>
  <c r="F82" i="1"/>
  <c r="K82" i="1" s="1"/>
  <c r="G82" i="1"/>
  <c r="E82" i="1"/>
  <c r="J82" i="1" s="1"/>
  <c r="D82" i="1"/>
  <c r="I82" i="1" s="1"/>
  <c r="S81" i="1"/>
  <c r="Y81" i="1" s="1"/>
  <c r="Q81" i="1"/>
  <c r="W81" i="1" s="1"/>
  <c r="P81" i="1"/>
  <c r="V81" i="1" s="1"/>
  <c r="O81" i="1"/>
  <c r="U81" i="1" s="1"/>
  <c r="N81" i="1"/>
  <c r="T80" i="1"/>
  <c r="Z80" i="1" s="1"/>
  <c r="AC80" i="1" s="1"/>
  <c r="AA80" i="1"/>
  <c r="AD80" i="1" s="1"/>
  <c r="B83" i="1"/>
  <c r="K78" i="7" l="1"/>
  <c r="O78" i="7" s="1"/>
  <c r="J78" i="7"/>
  <c r="N78" i="7" s="1"/>
  <c r="H78" i="7"/>
  <c r="L78" i="7" s="1"/>
  <c r="P78" i="7" s="1"/>
  <c r="T78" i="7"/>
  <c r="K75" i="8"/>
  <c r="N75" i="8" s="1"/>
  <c r="Q75" i="8" s="1"/>
  <c r="O75" i="8"/>
  <c r="R75" i="8" s="1"/>
  <c r="R77" i="7"/>
  <c r="U77" i="7" s="1"/>
  <c r="S77" i="7"/>
  <c r="V77" i="7" s="1"/>
  <c r="M78" i="7"/>
  <c r="Q78" i="7" s="1"/>
  <c r="Q80" i="6"/>
  <c r="V80" i="6" s="1"/>
  <c r="Y80" i="6" s="1"/>
  <c r="W80" i="6"/>
  <c r="Z80" i="6" s="1"/>
  <c r="L82" i="1"/>
  <c r="R82" i="1" s="1"/>
  <c r="X82" i="1" s="1"/>
  <c r="AB82" i="1"/>
  <c r="M83" i="1"/>
  <c r="D83" i="1"/>
  <c r="I83" i="1" s="1"/>
  <c r="F83" i="1"/>
  <c r="K83" i="1" s="1"/>
  <c r="G83" i="1"/>
  <c r="C83" i="1"/>
  <c r="H83" i="1" s="1"/>
  <c r="E83" i="1"/>
  <c r="J83" i="1" s="1"/>
  <c r="S82" i="1"/>
  <c r="Y82" i="1" s="1"/>
  <c r="P82" i="1"/>
  <c r="V82" i="1" s="1"/>
  <c r="O82" i="1"/>
  <c r="U82" i="1" s="1"/>
  <c r="Q82" i="1"/>
  <c r="W82" i="1" s="1"/>
  <c r="N82" i="1"/>
  <c r="AA81" i="1"/>
  <c r="AD81" i="1" s="1"/>
  <c r="T81" i="1"/>
  <c r="Z81" i="1" s="1"/>
  <c r="AC81" i="1" s="1"/>
  <c r="B84" i="1"/>
  <c r="R78" i="7" l="1"/>
  <c r="U78" i="7" s="1"/>
  <c r="S78" i="7"/>
  <c r="V78" i="7" s="1"/>
  <c r="L83" i="1"/>
  <c r="R83" i="1" s="1"/>
  <c r="X83" i="1" s="1"/>
  <c r="AB83" i="1"/>
  <c r="M84" i="1"/>
  <c r="G84" i="1"/>
  <c r="E84" i="1"/>
  <c r="J84" i="1" s="1"/>
  <c r="D84" i="1"/>
  <c r="I84" i="1" s="1"/>
  <c r="F84" i="1"/>
  <c r="K84" i="1" s="1"/>
  <c r="C84" i="1"/>
  <c r="H84" i="1" s="1"/>
  <c r="S83" i="1"/>
  <c r="Y83" i="1" s="1"/>
  <c r="Q83" i="1"/>
  <c r="W83" i="1" s="1"/>
  <c r="N83" i="1"/>
  <c r="P83" i="1"/>
  <c r="V83" i="1" s="1"/>
  <c r="O83" i="1"/>
  <c r="U83" i="1" s="1"/>
  <c r="AA82" i="1"/>
  <c r="AD82" i="1" s="1"/>
  <c r="T82" i="1"/>
  <c r="Z82" i="1" s="1"/>
  <c r="AC82" i="1" s="1"/>
  <c r="L84" i="1" l="1"/>
  <c r="R84" i="1" s="1"/>
  <c r="X84" i="1" s="1"/>
  <c r="AB84" i="1"/>
  <c r="S84" i="1"/>
  <c r="Y84" i="1" s="1"/>
  <c r="P84" i="1"/>
  <c r="V84" i="1" s="1"/>
  <c r="O84" i="1"/>
  <c r="U84" i="1" s="1"/>
  <c r="Q84" i="1"/>
  <c r="W84" i="1" s="1"/>
  <c r="N84" i="1"/>
  <c r="T83" i="1"/>
  <c r="Z83" i="1" s="1"/>
  <c r="AC83" i="1" s="1"/>
  <c r="AA83" i="1"/>
  <c r="AD83" i="1" s="1"/>
  <c r="T84" i="1" l="1"/>
  <c r="Z84" i="1" s="1"/>
  <c r="AC84" i="1" s="1"/>
  <c r="AA84" i="1"/>
  <c r="AD84" i="1" s="1"/>
</calcChain>
</file>

<file path=xl/sharedStrings.xml><?xml version="1.0" encoding="utf-8"?>
<sst xmlns="http://schemas.openxmlformats.org/spreadsheetml/2006/main" count="448" uniqueCount="102">
  <si>
    <t>Asi</t>
  </si>
  <si>
    <t>di</t>
  </si>
  <si>
    <t>i</t>
  </si>
  <si>
    <t>es1</t>
  </si>
  <si>
    <t>es2</t>
  </si>
  <si>
    <t>es3</t>
  </si>
  <si>
    <t>Pn (t)</t>
  </si>
  <si>
    <t>c (cm)</t>
  </si>
  <si>
    <t>fs1 (kg/cm2)</t>
  </si>
  <si>
    <t>fs2 (kg/cm2)</t>
  </si>
  <si>
    <t>fs3 (kg/cm2)</t>
  </si>
  <si>
    <t>a (cm)</t>
  </si>
  <si>
    <t>S1 (kg)</t>
  </si>
  <si>
    <t>S2 (kg)</t>
  </si>
  <si>
    <t>S3 (kg)</t>
  </si>
  <si>
    <t>C (kg)</t>
  </si>
  <si>
    <t>Mn (t-m)</t>
  </si>
  <si>
    <t>S1(d1-y0)</t>
  </si>
  <si>
    <t>S2(d2-y0)</t>
  </si>
  <si>
    <t>S3(d3-y0)</t>
  </si>
  <si>
    <t>C(a/2-y0)</t>
  </si>
  <si>
    <t>Ø</t>
  </si>
  <si>
    <t>ØMn (t-m)</t>
  </si>
  <si>
    <t>ØPn (t)</t>
  </si>
  <si>
    <t>Kg/cm2</t>
  </si>
  <si>
    <t>cm</t>
  </si>
  <si>
    <t>f'c =</t>
  </si>
  <si>
    <t>B1 =</t>
  </si>
  <si>
    <t>fy =</t>
  </si>
  <si>
    <t>Es =</t>
  </si>
  <si>
    <t>b =</t>
  </si>
  <si>
    <t>h =</t>
  </si>
  <si>
    <t>n =</t>
  </si>
  <si>
    <t>ecu =</t>
  </si>
  <si>
    <t>ey =</t>
  </si>
  <si>
    <t>y0 =</t>
  </si>
  <si>
    <t>Peralte de la columna</t>
  </si>
  <si>
    <t>Base de la columna</t>
  </si>
  <si>
    <t>Numero de partes</t>
  </si>
  <si>
    <t>r =</t>
  </si>
  <si>
    <t>Recubrimiento</t>
  </si>
  <si>
    <t>As1 =</t>
  </si>
  <si>
    <t>As2 =</t>
  </si>
  <si>
    <t>As3 =</t>
  </si>
  <si>
    <t>As4 =</t>
  </si>
  <si>
    <t>As5 =</t>
  </si>
  <si>
    <t>es4</t>
  </si>
  <si>
    <t>es5</t>
  </si>
  <si>
    <t>fs4 (kg/cm2)</t>
  </si>
  <si>
    <t>fs5 (kg/cm2)</t>
  </si>
  <si>
    <t>S4 (kg)</t>
  </si>
  <si>
    <t>S5 (kg)</t>
  </si>
  <si>
    <t>S4(d4-y0)</t>
  </si>
  <si>
    <t>S5(d5-y0)</t>
  </si>
  <si>
    <t>TABLA 1</t>
  </si>
  <si>
    <t>ACERO DISPONIBLES EN cm2</t>
  </si>
  <si>
    <t>N°</t>
  </si>
  <si>
    <t>DIAMETRO</t>
  </si>
  <si>
    <t>AREA</t>
  </si>
  <si>
    <t>cm2</t>
  </si>
  <si>
    <t>8mm</t>
  </si>
  <si>
    <t>3/8"</t>
  </si>
  <si>
    <t>1/2"</t>
  </si>
  <si>
    <t>5/8"</t>
  </si>
  <si>
    <t>3/4"</t>
  </si>
  <si>
    <t>7/8"</t>
  </si>
  <si>
    <t>1"</t>
  </si>
  <si>
    <t>1 1/8"</t>
  </si>
  <si>
    <t>1 1/4"</t>
  </si>
  <si>
    <t>1 3/8"</t>
  </si>
  <si>
    <t>φ (pulg)</t>
  </si>
  <si>
    <t># Aceros</t>
  </si>
  <si>
    <t>DIAGRAMA DE INTERACCIÓN EN COLUMNAS</t>
  </si>
  <si>
    <t>1. DATOS</t>
  </si>
  <si>
    <t>ACERO LONGITUDINAL</t>
  </si>
  <si>
    <t>ACERO ESTRIBOS</t>
  </si>
  <si>
    <t>2. AREA DE ACERO</t>
  </si>
  <si>
    <t>d1 =</t>
  </si>
  <si>
    <t>d2 =</t>
  </si>
  <si>
    <t>d3 =</t>
  </si>
  <si>
    <t>d4 =</t>
  </si>
  <si>
    <t>d5 =</t>
  </si>
  <si>
    <t>3. PERALTE EFECTIVO</t>
  </si>
  <si>
    <t>4. CUADRO AREA DE ACERO Y PERALTE EFECTIVO</t>
  </si>
  <si>
    <t>5. CALCULO DEL CENTROIDE PLASTICO</t>
  </si>
  <si>
    <t>Modulo de elasticidad del acero</t>
  </si>
  <si>
    <t>Resistencia a la compresion del concreto</t>
  </si>
  <si>
    <t>Resistencia a la fluencia del acero</t>
  </si>
  <si>
    <t>ey: deformacion del acero de fluencia</t>
  </si>
  <si>
    <t>Deformacion del acero de fluencia</t>
  </si>
  <si>
    <t>c: profundidad del eje neutro</t>
  </si>
  <si>
    <t>esi: deformacion acero</t>
  </si>
  <si>
    <t>ecu: deformacion del concreto maximo</t>
  </si>
  <si>
    <t>fsi: esfuerzo del acero</t>
  </si>
  <si>
    <t>fy: esfuerzo del acero fluencia</t>
  </si>
  <si>
    <t>B1: 0.85</t>
  </si>
  <si>
    <t>Si: fuerza del acero</t>
  </si>
  <si>
    <t>Pn: resistencia nominal</t>
  </si>
  <si>
    <t>Mn: momento nominal</t>
  </si>
  <si>
    <t>Ing. José Antonio Quinto</t>
  </si>
  <si>
    <t>WhatsApp y Telegram: +51 941410397</t>
  </si>
  <si>
    <t>Deformacion del concreto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</si>
</sst>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000"/>
  </numFmts>
  <fonts count="1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10"/>
      <color theme="1"/>
      <name val="Calibri"/>
      <family val="2"/>
    </font>
    <font>
      <b/>
      <sz val="28"/>
      <color theme="1"/>
      <name val="Calibri"/>
      <family val="2"/>
      <scheme val="minor"/>
    </font>
    <font>
      <sz val="10"/>
      <color theme="0"/>
      <name val="Calibri"/>
      <family val="2"/>
      <scheme val="minor"/>
    </font>
    <font>
      <sz val="10"/>
      <color rgb="FF7030A0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theme="1"/>
      <name val="Arial Narrow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</fills>
  <borders count="1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65">
    <xf numFmtId="0" fontId="0" fillId="0" borderId="0" xfId="0"/>
    <xf numFmtId="0" fontId="0" fillId="3" borderId="0" xfId="0" applyFill="1"/>
    <xf numFmtId="0" fontId="8" fillId="3" borderId="0" xfId="0" applyFont="1" applyFill="1" applyAlignment="1">
      <alignment horizontal="center"/>
    </xf>
    <xf numFmtId="0" fontId="8" fillId="3" borderId="13" xfId="0" applyFont="1" applyFill="1" applyBorder="1" applyAlignment="1">
      <alignment horizontal="center"/>
    </xf>
    <xf numFmtId="0" fontId="8" fillId="3" borderId="6" xfId="0" applyFont="1" applyFill="1" applyBorder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11" fillId="4" borderId="6" xfId="0" applyFont="1" applyFill="1" applyBorder="1" applyAlignment="1">
      <alignment horizontal="center"/>
    </xf>
    <xf numFmtId="0" fontId="11" fillId="4" borderId="13" xfId="0" applyFont="1" applyFill="1" applyBorder="1" applyAlignment="1">
      <alignment horizontal="center"/>
    </xf>
    <xf numFmtId="0" fontId="11" fillId="3" borderId="6" xfId="0" applyFont="1" applyFill="1" applyBorder="1" applyAlignment="1">
      <alignment horizontal="center"/>
    </xf>
    <xf numFmtId="0" fontId="11" fillId="4" borderId="7" xfId="0" applyFont="1" applyFill="1" applyBorder="1" applyAlignment="1">
      <alignment horizontal="center"/>
    </xf>
    <xf numFmtId="0" fontId="11" fillId="4" borderId="2" xfId="0" applyFont="1" applyFill="1" applyBorder="1" applyAlignment="1">
      <alignment horizontal="center"/>
    </xf>
    <xf numFmtId="0" fontId="2" fillId="3" borderId="0" xfId="0" applyFont="1" applyFill="1" applyAlignment="1">
      <alignment horizontal="center"/>
    </xf>
    <xf numFmtId="0" fontId="1" fillId="3" borderId="0" xfId="0" applyFont="1" applyFill="1" applyAlignment="1">
      <alignment horizontal="left"/>
    </xf>
    <xf numFmtId="0" fontId="2" fillId="3" borderId="0" xfId="0" applyFont="1" applyFill="1" applyAlignment="1">
      <alignment horizontal="left" vertical="center"/>
    </xf>
    <xf numFmtId="0" fontId="2" fillId="3" borderId="3" xfId="0" applyFont="1" applyFill="1" applyBorder="1" applyAlignment="1">
      <alignment horizontal="center"/>
    </xf>
    <xf numFmtId="0" fontId="2" fillId="3" borderId="0" xfId="0" applyFont="1" applyFill="1" applyAlignment="1">
      <alignment horizontal="right" vertical="center"/>
    </xf>
    <xf numFmtId="0" fontId="6" fillId="3" borderId="3" xfId="0" applyFont="1" applyFill="1" applyBorder="1" applyAlignment="1">
      <alignment horizontal="center"/>
    </xf>
    <xf numFmtId="0" fontId="11" fillId="3" borderId="14" xfId="0" applyFont="1" applyFill="1" applyBorder="1" applyAlignment="1">
      <alignment horizontal="center"/>
    </xf>
    <xf numFmtId="0" fontId="11" fillId="3" borderId="10" xfId="0" applyFont="1" applyFill="1" applyBorder="1" applyAlignment="1">
      <alignment horizontal="center"/>
    </xf>
    <xf numFmtId="2" fontId="2" fillId="3" borderId="0" xfId="0" applyNumberFormat="1" applyFont="1" applyFill="1" applyAlignment="1">
      <alignment horizontal="center" vertical="center"/>
    </xf>
    <xf numFmtId="0" fontId="2" fillId="3" borderId="0" xfId="0" applyFont="1" applyFill="1" applyAlignment="1">
      <alignment horizontal="left"/>
    </xf>
    <xf numFmtId="0" fontId="10" fillId="3" borderId="0" xfId="0" applyFont="1" applyFill="1" applyAlignment="1">
      <alignment horizontal="center"/>
    </xf>
    <xf numFmtId="164" fontId="2" fillId="3" borderId="0" xfId="0" applyNumberFormat="1" applyFont="1" applyFill="1" applyAlignment="1">
      <alignment horizontal="center"/>
    </xf>
    <xf numFmtId="164" fontId="9" fillId="3" borderId="0" xfId="0" applyNumberFormat="1" applyFont="1" applyFill="1" applyAlignment="1">
      <alignment horizontal="center"/>
    </xf>
    <xf numFmtId="164" fontId="2" fillId="3" borderId="0" xfId="0" applyNumberFormat="1" applyFont="1" applyFill="1" applyAlignment="1">
      <alignment horizontal="left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/>
    </xf>
    <xf numFmtId="0" fontId="3" fillId="3" borderId="5" xfId="0" applyFont="1" applyFill="1" applyBorder="1" applyAlignment="1">
      <alignment horizontal="center"/>
    </xf>
    <xf numFmtId="0" fontId="3" fillId="3" borderId="6" xfId="0" applyFont="1" applyFill="1" applyBorder="1" applyAlignment="1">
      <alignment horizontal="center" vertical="center"/>
    </xf>
    <xf numFmtId="2" fontId="2" fillId="3" borderId="11" xfId="0" applyNumberFormat="1" applyFont="1" applyFill="1" applyBorder="1" applyAlignment="1">
      <alignment horizontal="center"/>
    </xf>
    <xf numFmtId="2" fontId="2" fillId="3" borderId="9" xfId="0" applyNumberFormat="1" applyFont="1" applyFill="1" applyBorder="1" applyAlignment="1">
      <alignment horizontal="center"/>
    </xf>
    <xf numFmtId="2" fontId="2" fillId="3" borderId="10" xfId="0" applyNumberFormat="1" applyFont="1" applyFill="1" applyBorder="1" applyAlignment="1">
      <alignment horizontal="center"/>
    </xf>
    <xf numFmtId="0" fontId="3" fillId="3" borderId="7" xfId="0" applyFont="1" applyFill="1" applyBorder="1" applyAlignment="1">
      <alignment horizontal="center" vertical="center"/>
    </xf>
    <xf numFmtId="164" fontId="2" fillId="3" borderId="8" xfId="0" applyNumberFormat="1" applyFont="1" applyFill="1" applyBorder="1" applyAlignment="1">
      <alignment horizontal="center"/>
    </xf>
    <xf numFmtId="164" fontId="2" fillId="3" borderId="1" xfId="0" applyNumberFormat="1" applyFont="1" applyFill="1" applyBorder="1" applyAlignment="1">
      <alignment horizontal="center"/>
    </xf>
    <xf numFmtId="164" fontId="9" fillId="3" borderId="0" xfId="0" applyNumberFormat="1" applyFont="1" applyFill="1" applyAlignment="1">
      <alignment horizontal="right"/>
    </xf>
    <xf numFmtId="0" fontId="5" fillId="3" borderId="0" xfId="0" applyFont="1" applyFill="1" applyAlignment="1">
      <alignment horizontal="center" vertical="center" wrapText="1"/>
    </xf>
    <xf numFmtId="165" fontId="2" fillId="3" borderId="0" xfId="0" applyNumberFormat="1" applyFont="1" applyFill="1" applyAlignment="1">
      <alignment horizontal="center"/>
    </xf>
    <xf numFmtId="1" fontId="2" fillId="3" borderId="0" xfId="0" applyNumberFormat="1" applyFont="1" applyFill="1" applyAlignment="1">
      <alignment horizontal="center"/>
    </xf>
    <xf numFmtId="0" fontId="2" fillId="4" borderId="12" xfId="0" applyFont="1" applyFill="1" applyBorder="1" applyAlignment="1">
      <alignment horizontal="center"/>
    </xf>
    <xf numFmtId="0" fontId="2" fillId="4" borderId="5" xfId="0" applyFont="1" applyFill="1" applyBorder="1" applyAlignment="1">
      <alignment horizontal="center"/>
    </xf>
    <xf numFmtId="0" fontId="2" fillId="4" borderId="3" xfId="0" applyFont="1" applyFill="1" applyBorder="1" applyAlignment="1">
      <alignment horizontal="center"/>
    </xf>
    <xf numFmtId="0" fontId="12" fillId="3" borderId="0" xfId="0" applyFont="1" applyFill="1" applyAlignment="1">
      <alignment horizontal="center"/>
    </xf>
    <xf numFmtId="0" fontId="3" fillId="3" borderId="0" xfId="0" applyFont="1" applyFill="1" applyAlignment="1">
      <alignment horizontal="left"/>
    </xf>
    <xf numFmtId="2" fontId="2" fillId="3" borderId="1" xfId="0" applyNumberFormat="1" applyFont="1" applyFill="1" applyBorder="1" applyAlignment="1">
      <alignment horizontal="center"/>
    </xf>
    <xf numFmtId="2" fontId="2" fillId="3" borderId="2" xfId="0" applyNumberFormat="1" applyFont="1" applyFill="1" applyBorder="1" applyAlignment="1">
      <alignment horizontal="center"/>
    </xf>
    <xf numFmtId="0" fontId="6" fillId="3" borderId="0" xfId="0" applyFont="1" applyFill="1" applyAlignment="1">
      <alignment horizontal="center"/>
    </xf>
    <xf numFmtId="2" fontId="2" fillId="2" borderId="0" xfId="0" applyNumberFormat="1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11" fillId="5" borderId="6" xfId="0" applyFont="1" applyFill="1" applyBorder="1" applyAlignment="1">
      <alignment horizontal="center"/>
    </xf>
    <xf numFmtId="0" fontId="11" fillId="5" borderId="13" xfId="0" applyFont="1" applyFill="1" applyBorder="1" applyAlignment="1">
      <alignment horizontal="center"/>
    </xf>
    <xf numFmtId="0" fontId="3" fillId="3" borderId="12" xfId="0" applyFont="1" applyFill="1" applyBorder="1" applyAlignment="1">
      <alignment horizontal="center"/>
    </xf>
    <xf numFmtId="0" fontId="11" fillId="5" borderId="7" xfId="0" applyFont="1" applyFill="1" applyBorder="1" applyAlignment="1">
      <alignment horizontal="center"/>
    </xf>
    <xf numFmtId="0" fontId="11" fillId="5" borderId="2" xfId="0" applyFont="1" applyFill="1" applyBorder="1" applyAlignment="1">
      <alignment horizontal="center"/>
    </xf>
    <xf numFmtId="164" fontId="2" fillId="3" borderId="2" xfId="0" applyNumberFormat="1" applyFont="1" applyFill="1" applyBorder="1" applyAlignment="1">
      <alignment horizontal="center"/>
    </xf>
    <xf numFmtId="0" fontId="13" fillId="3" borderId="0" xfId="0" applyFont="1" applyFill="1"/>
    <xf numFmtId="0" fontId="7" fillId="3" borderId="0" xfId="0" applyFont="1" applyFill="1" applyAlignment="1">
      <alignment horizontal="center" vertical="center"/>
    </xf>
    <xf numFmtId="0" fontId="2" fillId="3" borderId="3" xfId="0" applyFont="1" applyFill="1" applyBorder="1" applyAlignment="1">
      <alignment horizontal="center"/>
    </xf>
    <xf numFmtId="0" fontId="3" fillId="3" borderId="12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3" borderId="5" xfId="0" applyFont="1" applyFill="1" applyBorder="1" applyAlignment="1">
      <alignment horizontal="center" vertical="center"/>
    </xf>
    <xf numFmtId="0" fontId="2" fillId="6" borderId="0" xfId="0" applyFont="1" applyFill="1" applyAlignment="1">
      <alignment horizontal="center"/>
    </xf>
    <xf numFmtId="0" fontId="2" fillId="6" borderId="0" xfId="0" applyFont="1" applyFill="1" applyAlignment="1">
      <alignment horizontal="left"/>
    </xf>
    <xf numFmtId="0" fontId="5" fillId="6" borderId="0" xfId="0" applyFont="1" applyFill="1" applyAlignment="1">
      <alignment horizontal="center" vertical="center" wrapText="1"/>
    </xf>
    <xf numFmtId="2" fontId="2" fillId="6" borderId="0" xfId="0" applyNumberFormat="1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3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3200" b="1"/>
              <a:t>Diagrama</a:t>
            </a:r>
            <a:r>
              <a:rPr lang="en-US" sz="3200" b="1" baseline="0"/>
              <a:t> de Interacción</a:t>
            </a:r>
            <a:endParaRPr lang="en-US" sz="32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3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P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 2'!$N$40:$N$76</c:f>
              <c:numCache>
                <c:formatCode>0.00</c:formatCode>
                <c:ptCount val="37"/>
                <c:pt idx="0" formatCode="General">
                  <c:v>0</c:v>
                </c:pt>
                <c:pt idx="1">
                  <c:v>0.64767609375000001</c:v>
                </c:pt>
                <c:pt idx="2">
                  <c:v>1.2631106249999999</c:v>
                </c:pt>
                <c:pt idx="3">
                  <c:v>1.8463035937500001</c:v>
                </c:pt>
                <c:pt idx="4">
                  <c:v>3.6033915793376972</c:v>
                </c:pt>
                <c:pt idx="5">
                  <c:v>5.4375486010747416</c:v>
                </c:pt>
                <c:pt idx="6">
                  <c:v>6.8009816676494372</c:v>
                </c:pt>
                <c:pt idx="7">
                  <c:v>7.7454027862762302</c:v>
                </c:pt>
                <c:pt idx="8">
                  <c:v>8.637190506093031</c:v>
                </c:pt>
                <c:pt idx="9">
                  <c:v>9.3923360937283213</c:v>
                </c:pt>
                <c:pt idx="10">
                  <c:v>10.042159720086554</c:v>
                </c:pt>
                <c:pt idx="11">
                  <c:v>10.606592403016016</c:v>
                </c:pt>
                <c:pt idx="12">
                  <c:v>11.098921487748902</c:v>
                </c:pt>
                <c:pt idx="13">
                  <c:v>11.528345905599807</c:v>
                </c:pt>
                <c:pt idx="14">
                  <c:v>11.901436321793437</c:v>
                </c:pt>
                <c:pt idx="15">
                  <c:v>12.223011224161251</c:v>
                </c:pt>
                <c:pt idx="16">
                  <c:v>12.496684478576839</c:v>
                </c:pt>
                <c:pt idx="17">
                  <c:v>12.725219629531768</c:v>
                </c:pt>
                <c:pt idx="18">
                  <c:v>12.568335865658089</c:v>
                </c:pt>
                <c:pt idx="19">
                  <c:v>12.320962031309646</c:v>
                </c:pt>
                <c:pt idx="20">
                  <c:v>12.014727674651112</c:v>
                </c:pt>
                <c:pt idx="21">
                  <c:v>11.698674994069188</c:v>
                </c:pt>
                <c:pt idx="22">
                  <c:v>11.37937143501744</c:v>
                </c:pt>
                <c:pt idx="23">
                  <c:v>11.053035603926714</c:v>
                </c:pt>
                <c:pt idx="24">
                  <c:v>10.716516339489383</c:v>
                </c:pt>
                <c:pt idx="25">
                  <c:v>10.367166666207035</c:v>
                </c:pt>
                <c:pt idx="26">
                  <c:v>10.002746835581025</c:v>
                </c:pt>
                <c:pt idx="27">
                  <c:v>9.6213489137050878</c:v>
                </c:pt>
                <c:pt idx="28">
                  <c:v>9.2213375286595749</c:v>
                </c:pt>
                <c:pt idx="29">
                  <c:v>8.8013028770654778</c:v>
                </c:pt>
                <c:pt idx="30">
                  <c:v>8.3600231293276543</c:v>
                </c:pt>
                <c:pt idx="31">
                  <c:v>7.8964341112825922</c:v>
                </c:pt>
                <c:pt idx="32">
                  <c:v>7.409604670537222</c:v>
                </c:pt>
                <c:pt idx="33">
                  <c:v>6.8987165216552064</c:v>
                </c:pt>
                <c:pt idx="34">
                  <c:v>6.3630476480750762</c:v>
                </c:pt>
                <c:pt idx="35">
                  <c:v>5.9381675676260848</c:v>
                </c:pt>
                <c:pt idx="36" formatCode="General">
                  <c:v>0</c:v>
                </c:pt>
              </c:numCache>
            </c:numRef>
          </c:xVal>
          <c:yVal>
            <c:numRef>
              <c:f>'DIAGRAM DE INTERACCIÓN 2'!$O$40:$O$76</c:f>
              <c:numCache>
                <c:formatCode>0.00</c:formatCode>
                <c:ptCount val="37"/>
                <c:pt idx="0" formatCode="General">
                  <c:v>54.534392437868199</c:v>
                </c:pt>
                <c:pt idx="1">
                  <c:v>50.741267437868196</c:v>
                </c:pt>
                <c:pt idx="2">
                  <c:v>46.948142437868199</c:v>
                </c:pt>
                <c:pt idx="3">
                  <c:v>43.155017437868196</c:v>
                </c:pt>
                <c:pt idx="4">
                  <c:v>29.100175289403268</c:v>
                </c:pt>
                <c:pt idx="5">
                  <c:v>14.115326984185405</c:v>
                </c:pt>
                <c:pt idx="6">
                  <c:v>2.8610531140401689</c:v>
                </c:pt>
                <c:pt idx="7">
                  <c:v>-5.1026080967588827</c:v>
                </c:pt>
                <c:pt idx="8">
                  <c:v>-12.892777134336692</c:v>
                </c:pt>
                <c:pt idx="9">
                  <c:v>-19.794714163563878</c:v>
                </c:pt>
                <c:pt idx="10">
                  <c:v>-26.074888786945618</c:v>
                </c:pt>
                <c:pt idx="11">
                  <c:v>-31.902872569712503</c:v>
                </c:pt>
                <c:pt idx="12">
                  <c:v>-37.391713222018232</c:v>
                </c:pt>
                <c:pt idx="13">
                  <c:v>-42.619674543200013</c:v>
                </c:pt>
                <c:pt idx="14">
                  <c:v>-47.642659247070114</c:v>
                </c:pt>
                <c:pt idx="15">
                  <c:v>-52.501662657090861</c:v>
                </c:pt>
                <c:pt idx="16">
                  <c:v>-57.227431265859018</c:v>
                </c:pt>
                <c:pt idx="17">
                  <c:v>-61.843477097125032</c:v>
                </c:pt>
                <c:pt idx="18">
                  <c:v>-69.281457352674209</c:v>
                </c:pt>
                <c:pt idx="19">
                  <c:v>-77.061014548424779</c:v>
                </c:pt>
                <c:pt idx="20">
                  <c:v>-83.947710593132157</c:v>
                </c:pt>
                <c:pt idx="21">
                  <c:v>-90.453991176090113</c:v>
                </c:pt>
                <c:pt idx="22">
                  <c:v>-96.713621251506467</c:v>
                </c:pt>
                <c:pt idx="23">
                  <c:v>-102.75877262471269</c:v>
                </c:pt>
                <c:pt idx="24">
                  <c:v>-108.61625513348504</c:v>
                </c:pt>
                <c:pt idx="25">
                  <c:v>-114.30858904155563</c:v>
                </c:pt>
                <c:pt idx="26">
                  <c:v>-119.8548299566977</c:v>
                </c:pt>
                <c:pt idx="27">
                  <c:v>-125.27121043368112</c:v>
                </c:pt>
                <c:pt idx="28">
                  <c:v>-130.57164409087997</c:v>
                </c:pt>
                <c:pt idx="29">
                  <c:v>-135.76812542689271</c:v>
                </c:pt>
                <c:pt idx="30">
                  <c:v>-140.87104967383794</c:v>
                </c:pt>
                <c:pt idx="31">
                  <c:v>-145.88947074356091</c:v>
                </c:pt>
                <c:pt idx="32">
                  <c:v>-150.83131080892619</c:v>
                </c:pt>
                <c:pt idx="33">
                  <c:v>-155.70353177942081</c:v>
                </c:pt>
                <c:pt idx="34">
                  <c:v>-160.51227651635693</c:v>
                </c:pt>
                <c:pt idx="35">
                  <c:v>-164.1041300004492</c:v>
                </c:pt>
                <c:pt idx="36" formatCode="General">
                  <c:v>-208.40418075925879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B216-4257-AD1B-66662463C7DB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 2'!$Q$40:$Q$76</c:f>
              <c:numCache>
                <c:formatCode>0.00</c:formatCode>
                <c:ptCount val="37"/>
                <c:pt idx="0">
                  <c:v>0</c:v>
                </c:pt>
                <c:pt idx="1">
                  <c:v>0.58290848437499998</c:v>
                </c:pt>
                <c:pt idx="2">
                  <c:v>1.1367995625</c:v>
                </c:pt>
                <c:pt idx="3">
                  <c:v>1.661673234375</c:v>
                </c:pt>
                <c:pt idx="4">
                  <c:v>3.2430524214039274</c:v>
                </c:pt>
                <c:pt idx="5">
                  <c:v>4.8937937409672676</c:v>
                </c:pt>
                <c:pt idx="6">
                  <c:v>6.120883500884494</c:v>
                </c:pt>
                <c:pt idx="7">
                  <c:v>6.970862507648607</c:v>
                </c:pt>
                <c:pt idx="8">
                  <c:v>7.7734714554837279</c:v>
                </c:pt>
                <c:pt idx="9">
                  <c:v>8.4531024843554903</c:v>
                </c:pt>
                <c:pt idx="10">
                  <c:v>9.0379437480778986</c:v>
                </c:pt>
                <c:pt idx="11">
                  <c:v>9.5260873638412171</c:v>
                </c:pt>
                <c:pt idx="12">
                  <c:v>9.3321238834625806</c:v>
                </c:pt>
                <c:pt idx="13">
                  <c:v>9.1340927004870487</c:v>
                </c:pt>
                <c:pt idx="14">
                  <c:v>8.934963011997894</c:v>
                </c:pt>
                <c:pt idx="15">
                  <c:v>8.7360284747168002</c:v>
                </c:pt>
                <c:pt idx="16">
                  <c:v>8.5376897238100291</c:v>
                </c:pt>
                <c:pt idx="17">
                  <c:v>8.3398747030690803</c:v>
                </c:pt>
                <c:pt idx="18">
                  <c:v>8.1694183126777578</c:v>
                </c:pt>
                <c:pt idx="19">
                  <c:v>8.0086253203512712</c:v>
                </c:pt>
                <c:pt idx="20">
                  <c:v>7.8095729885232235</c:v>
                </c:pt>
                <c:pt idx="21">
                  <c:v>7.6041387461449723</c:v>
                </c:pt>
                <c:pt idx="22">
                  <c:v>7.396591432761336</c:v>
                </c:pt>
                <c:pt idx="23">
                  <c:v>7.1844731425523642</c:v>
                </c:pt>
                <c:pt idx="24">
                  <c:v>6.9657356206680987</c:v>
                </c:pt>
                <c:pt idx="25">
                  <c:v>6.7386583330345733</c:v>
                </c:pt>
                <c:pt idx="26">
                  <c:v>6.501785443127666</c:v>
                </c:pt>
                <c:pt idx="27">
                  <c:v>6.2538767939083071</c:v>
                </c:pt>
                <c:pt idx="28">
                  <c:v>5.9938693936287235</c:v>
                </c:pt>
                <c:pt idx="29">
                  <c:v>5.7208468700925605</c:v>
                </c:pt>
                <c:pt idx="30">
                  <c:v>5.4340150340629751</c:v>
                </c:pt>
                <c:pt idx="31">
                  <c:v>5.1326821723336851</c:v>
                </c:pt>
                <c:pt idx="32">
                  <c:v>4.8162430358491948</c:v>
                </c:pt>
                <c:pt idx="33">
                  <c:v>4.484165739075884</c:v>
                </c:pt>
                <c:pt idx="34">
                  <c:v>4.1359809712487996</c:v>
                </c:pt>
                <c:pt idx="35">
                  <c:v>3.8598089189569551</c:v>
                </c:pt>
                <c:pt idx="36">
                  <c:v>0</c:v>
                </c:pt>
              </c:numCache>
            </c:numRef>
          </c:xVal>
          <c:yVal>
            <c:numRef>
              <c:f>'DIAGRAM DE INTERACCIÓN 2'!$R$40:$R$76</c:f>
              <c:numCache>
                <c:formatCode>0.00</c:formatCode>
                <c:ptCount val="37"/>
                <c:pt idx="0">
                  <c:v>49.080953194081381</c:v>
                </c:pt>
                <c:pt idx="1">
                  <c:v>45.667140694081375</c:v>
                </c:pt>
                <c:pt idx="2">
                  <c:v>42.253328194081384</c:v>
                </c:pt>
                <c:pt idx="3">
                  <c:v>38.839515694081378</c:v>
                </c:pt>
                <c:pt idx="4">
                  <c:v>26.190157760462942</c:v>
                </c:pt>
                <c:pt idx="5">
                  <c:v>12.703794285766865</c:v>
                </c:pt>
                <c:pt idx="6">
                  <c:v>2.5749478026361521</c:v>
                </c:pt>
                <c:pt idx="7">
                  <c:v>-4.5923472870829949</c:v>
                </c:pt>
                <c:pt idx="8">
                  <c:v>-11.603499420903022</c:v>
                </c:pt>
                <c:pt idx="9">
                  <c:v>-17.815242747207492</c:v>
                </c:pt>
                <c:pt idx="10">
                  <c:v>-23.467399908251057</c:v>
                </c:pt>
                <c:pt idx="11">
                  <c:v>-28.652892437929193</c:v>
                </c:pt>
                <c:pt idx="12">
                  <c:v>-31.439460166282625</c:v>
                </c:pt>
                <c:pt idx="13">
                  <c:v>-33.768249264023325</c:v>
                </c:pt>
                <c:pt idx="14">
                  <c:v>-35.767565078367284</c:v>
                </c:pt>
                <c:pt idx="15">
                  <c:v>-37.523979282265174</c:v>
                </c:pt>
                <c:pt idx="16">
                  <c:v>-39.097574454741412</c:v>
                </c:pt>
                <c:pt idx="17">
                  <c:v>-40.531076492793154</c:v>
                </c:pt>
                <c:pt idx="18">
                  <c:v>-45.032947279238236</c:v>
                </c:pt>
                <c:pt idx="19">
                  <c:v>-50.089659456476106</c:v>
                </c:pt>
                <c:pt idx="20">
                  <c:v>-54.566011885535907</c:v>
                </c:pt>
                <c:pt idx="21">
                  <c:v>-58.795094264458577</c:v>
                </c:pt>
                <c:pt idx="22">
                  <c:v>-62.863853813479203</c:v>
                </c:pt>
                <c:pt idx="23">
                  <c:v>-66.793202206063256</c:v>
                </c:pt>
                <c:pt idx="24">
                  <c:v>-70.600565836765284</c:v>
                </c:pt>
                <c:pt idx="25">
                  <c:v>-74.300582877011166</c:v>
                </c:pt>
                <c:pt idx="26">
                  <c:v>-77.905639471853505</c:v>
                </c:pt>
                <c:pt idx="27">
                  <c:v>-81.426286781892728</c:v>
                </c:pt>
                <c:pt idx="28">
                  <c:v>-84.871568659071983</c:v>
                </c:pt>
                <c:pt idx="29">
                  <c:v>-88.249281527480264</c:v>
                </c:pt>
                <c:pt idx="30">
                  <c:v>-91.566182287994664</c:v>
                </c:pt>
                <c:pt idx="31">
                  <c:v>-94.828155983314588</c:v>
                </c:pt>
                <c:pt idx="32">
                  <c:v>-98.040352025802022</c:v>
                </c:pt>
                <c:pt idx="33">
                  <c:v>-101.20729565662353</c:v>
                </c:pt>
                <c:pt idx="34">
                  <c:v>-104.33297973563201</c:v>
                </c:pt>
                <c:pt idx="35">
                  <c:v>-106.66768450029198</c:v>
                </c:pt>
                <c:pt idx="36">
                  <c:v>-135.46271749351823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216-4257-AD1B-66662463C7DB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INTERACCIÓN'!#REF!</c:f>
            </c:numRef>
          </c:xVal>
          <c:yVal>
            <c:numRef>
              <c:f>'DIAGRAM DE INTERACCIÓN'!#REF!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B216-4257-AD1B-66662463C7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3087440"/>
        <c:axId val="2123086192"/>
      </c:scatterChart>
      <c:valAx>
        <c:axId val="21230874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123086192"/>
        <c:crosses val="autoZero"/>
        <c:crossBetween val="midCat"/>
      </c:valAx>
      <c:valAx>
        <c:axId val="2123086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1230874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3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3200" b="1"/>
              <a:t>Diagrama</a:t>
            </a:r>
            <a:r>
              <a:rPr lang="en-US" sz="3200" b="1" baseline="0"/>
              <a:t> de Interacción</a:t>
            </a:r>
            <a:endParaRPr lang="en-US" sz="32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3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P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 3'!$R$43:$R$79</c:f>
              <c:numCache>
                <c:formatCode>0.00</c:formatCode>
                <c:ptCount val="37"/>
                <c:pt idx="0" formatCode="General">
                  <c:v>0</c:v>
                </c:pt>
                <c:pt idx="1">
                  <c:v>0.64767609374999913</c:v>
                </c:pt>
                <c:pt idx="2">
                  <c:v>1.263110624999999</c:v>
                </c:pt>
                <c:pt idx="3">
                  <c:v>1.8463035937499992</c:v>
                </c:pt>
                <c:pt idx="4">
                  <c:v>3.4950802986387135</c:v>
                </c:pt>
                <c:pt idx="5">
                  <c:v>5.0256002629897552</c:v>
                </c:pt>
                <c:pt idx="6">
                  <c:v>6.1866086246404492</c:v>
                </c:pt>
                <c:pt idx="7">
                  <c:v>7.0149043582550341</c:v>
                </c:pt>
                <c:pt idx="8">
                  <c:v>7.7982502718625488</c:v>
                </c:pt>
                <c:pt idx="9">
                  <c:v>8.4690522324461703</c:v>
                </c:pt>
                <c:pt idx="10">
                  <c:v>9.051400957163068</c:v>
                </c:pt>
                <c:pt idx="11">
                  <c:v>9.5606269023859873</c:v>
                </c:pt>
                <c:pt idx="12">
                  <c:v>10.006950372363416</c:v>
                </c:pt>
                <c:pt idx="13">
                  <c:v>10.397446962344318</c:v>
                </c:pt>
                <c:pt idx="14">
                  <c:v>10.737170668935093</c:v>
                </c:pt>
                <c:pt idx="15">
                  <c:v>11.029827756313765</c:v>
                </c:pt>
                <c:pt idx="16">
                  <c:v>11.278197922613851</c:v>
                </c:pt>
                <c:pt idx="17">
                  <c:v>11.484406819349221</c:v>
                </c:pt>
                <c:pt idx="18">
                  <c:v>11.411176680926017</c:v>
                </c:pt>
                <c:pt idx="19">
                  <c:v>11.204759823295733</c:v>
                </c:pt>
                <c:pt idx="20">
                  <c:v>10.959522526051771</c:v>
                </c:pt>
                <c:pt idx="21">
                  <c:v>10.708741161878658</c:v>
                </c:pt>
                <c:pt idx="22">
                  <c:v>10.448775163198556</c:v>
                </c:pt>
                <c:pt idx="23">
                  <c:v>10.176617104621071</c:v>
                </c:pt>
                <c:pt idx="24">
                  <c:v>9.8897607983208786</c:v>
                </c:pt>
                <c:pt idx="25">
                  <c:v>9.5861010465246999</c:v>
                </c:pt>
                <c:pt idx="26">
                  <c:v>9.2638565280397653</c:v>
                </c:pt>
                <c:pt idx="27">
                  <c:v>8.9215098211092716</c:v>
                </c:pt>
                <c:pt idx="28">
                  <c:v>8.5577602785130988</c:v>
                </c:pt>
                <c:pt idx="29">
                  <c:v>8.1714866526476957</c:v>
                </c:pt>
                <c:pt idx="30">
                  <c:v>7.7617171955899869</c:v>
                </c:pt>
                <c:pt idx="31">
                  <c:v>7.3276055462456782</c:v>
                </c:pt>
                <c:pt idx="32">
                  <c:v>6.8684111386572644</c:v>
                </c:pt>
                <c:pt idx="33">
                  <c:v>6.3834831724378436</c:v>
                </c:pt>
                <c:pt idx="34">
                  <c:v>5.8722474119519212</c:v>
                </c:pt>
                <c:pt idx="35">
                  <c:v>5.4419405767725317</c:v>
                </c:pt>
                <c:pt idx="36" formatCode="General">
                  <c:v>0</c:v>
                </c:pt>
              </c:numCache>
            </c:numRef>
          </c:xVal>
          <c:yVal>
            <c:numRef>
              <c:f>'DIAGRAM DE INTERACCIÓN 3'!$S$43:$S$79</c:f>
              <c:numCache>
                <c:formatCode>0.00</c:formatCode>
                <c:ptCount val="37"/>
                <c:pt idx="0" formatCode="General">
                  <c:v>53.204285305237264</c:v>
                </c:pt>
                <c:pt idx="1">
                  <c:v>49.411160305237267</c:v>
                </c:pt>
                <c:pt idx="2">
                  <c:v>45.618035305237264</c:v>
                </c:pt>
                <c:pt idx="3">
                  <c:v>41.824910305237267</c:v>
                </c:pt>
                <c:pt idx="4">
                  <c:v>28.816043029151523</c:v>
                </c:pt>
                <c:pt idx="5">
                  <c:v>16.529233910779716</c:v>
                </c:pt>
                <c:pt idx="6">
                  <c:v>7.0736528318651803</c:v>
                </c:pt>
                <c:pt idx="7">
                  <c:v>0.14038919711525522</c:v>
                </c:pt>
                <c:pt idx="8">
                  <c:v>-6.686194416588962</c:v>
                </c:pt>
                <c:pt idx="9">
                  <c:v>-12.838676116136689</c:v>
                </c:pt>
                <c:pt idx="10">
                  <c:v>-18.519286475774866</c:v>
                </c:pt>
                <c:pt idx="11">
                  <c:v>-25.515033065252457</c:v>
                </c:pt>
                <c:pt idx="12">
                  <c:v>-32.610393738688984</c:v>
                </c:pt>
                <c:pt idx="13">
                  <c:v>-39.197718154673744</c:v>
                </c:pt>
                <c:pt idx="14">
                  <c:v>-45.385871225517832</c:v>
                </c:pt>
                <c:pt idx="15">
                  <c:v>-51.254687220249366</c:v>
                </c:pt>
                <c:pt idx="16">
                  <c:v>-56.864041840639459</c:v>
                </c:pt>
                <c:pt idx="17">
                  <c:v>-62.259722388042469</c:v>
                </c:pt>
                <c:pt idx="18">
                  <c:v>-69.483058312717219</c:v>
                </c:pt>
                <c:pt idx="19">
                  <c:v>-76.985370955759848</c:v>
                </c:pt>
                <c:pt idx="20">
                  <c:v>-83.831741877505905</c:v>
                </c:pt>
                <c:pt idx="21">
                  <c:v>-89.935091048276831</c:v>
                </c:pt>
                <c:pt idx="22">
                  <c:v>-96.239543862700003</c:v>
                </c:pt>
                <c:pt idx="23">
                  <c:v>-102.32562034543417</c:v>
                </c:pt>
                <c:pt idx="24">
                  <c:v>-108.2206175379405</c:v>
                </c:pt>
                <c:pt idx="25">
                  <c:v>-113.94746495504634</c:v>
                </c:pt>
                <c:pt idx="26">
                  <c:v>-119.52556449391324</c:v>
                </c:pt>
                <c:pt idx="27">
                  <c:v>-124.9714436965678</c:v>
                </c:pt>
                <c:pt idx="28">
                  <c:v>-130.29926902760417</c:v>
                </c:pt>
                <c:pt idx="29">
                  <c:v>-135.52125295650009</c:v>
                </c:pt>
                <c:pt idx="30">
                  <c:v>-140.64797962346964</c:v>
                </c:pt>
                <c:pt idx="31">
                  <c:v>-145.68866747321533</c:v>
                </c:pt>
                <c:pt idx="32">
                  <c:v>-150.65138264485194</c:v>
                </c:pt>
                <c:pt idx="33">
                  <c:v>-155.54321356366205</c:v>
                </c:pt>
                <c:pt idx="34">
                  <c:v>-160.37041472254217</c:v>
                </c:pt>
                <c:pt idx="35">
                  <c:v>-164.23405296501153</c:v>
                </c:pt>
                <c:pt idx="36" formatCode="General">
                  <c:v>-207.13060317976471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E4B-4549-9222-FEC117D63814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 3'!$U$43:$U$79</c:f>
              <c:numCache>
                <c:formatCode>0.00</c:formatCode>
                <c:ptCount val="37"/>
                <c:pt idx="0">
                  <c:v>0</c:v>
                </c:pt>
                <c:pt idx="1">
                  <c:v>0.5829084843749992</c:v>
                </c:pt>
                <c:pt idx="2">
                  <c:v>1.1367995624999991</c:v>
                </c:pt>
                <c:pt idx="3">
                  <c:v>1.6616732343749994</c:v>
                </c:pt>
                <c:pt idx="4">
                  <c:v>3.1455722687748424</c:v>
                </c:pt>
                <c:pt idx="5">
                  <c:v>4.5230402366907798</c:v>
                </c:pt>
                <c:pt idx="6">
                  <c:v>5.5679477621764049</c:v>
                </c:pt>
                <c:pt idx="7">
                  <c:v>6.3134139224295307</c:v>
                </c:pt>
                <c:pt idx="8">
                  <c:v>7.018425244676294</c:v>
                </c:pt>
                <c:pt idx="9">
                  <c:v>7.6221470092015533</c:v>
                </c:pt>
                <c:pt idx="10">
                  <c:v>8.1462608614467609</c:v>
                </c:pt>
                <c:pt idx="11">
                  <c:v>8.6045642121473893</c:v>
                </c:pt>
                <c:pt idx="12">
                  <c:v>8.4482168849440935</c:v>
                </c:pt>
                <c:pt idx="13">
                  <c:v>8.2709001590545004</c:v>
                </c:pt>
                <c:pt idx="14">
                  <c:v>8.0923820625060525</c:v>
                </c:pt>
                <c:pt idx="15">
                  <c:v>7.9134259915449396</c:v>
                </c:pt>
                <c:pt idx="16">
                  <c:v>7.7341639875834289</c:v>
                </c:pt>
                <c:pt idx="17">
                  <c:v>7.5544043691122349</c:v>
                </c:pt>
                <c:pt idx="18">
                  <c:v>7.4172648426019112</c:v>
                </c:pt>
                <c:pt idx="19">
                  <c:v>7.2830938851422271</c:v>
                </c:pt>
                <c:pt idx="20">
                  <c:v>7.1236896419336508</c:v>
                </c:pt>
                <c:pt idx="21">
                  <c:v>6.9606817552211275</c:v>
                </c:pt>
                <c:pt idx="22">
                  <c:v>6.7917038560790619</c:v>
                </c:pt>
                <c:pt idx="23">
                  <c:v>6.6148011180036965</c:v>
                </c:pt>
                <c:pt idx="24">
                  <c:v>6.4283445189085713</c:v>
                </c:pt>
                <c:pt idx="25">
                  <c:v>6.2309656802410549</c:v>
                </c:pt>
                <c:pt idx="26">
                  <c:v>6.0215067432258476</c:v>
                </c:pt>
                <c:pt idx="27">
                  <c:v>5.7989813837210269</c:v>
                </c:pt>
                <c:pt idx="28">
                  <c:v>5.5625441810335143</c:v>
                </c:pt>
                <c:pt idx="29">
                  <c:v>5.3114663242210023</c:v>
                </c:pt>
                <c:pt idx="30">
                  <c:v>5.045116177133492</c:v>
                </c:pt>
                <c:pt idx="31">
                  <c:v>4.7629436050596912</c:v>
                </c:pt>
                <c:pt idx="32">
                  <c:v>4.4644672401272221</c:v>
                </c:pt>
                <c:pt idx="33">
                  <c:v>4.1492640620845984</c:v>
                </c:pt>
                <c:pt idx="34">
                  <c:v>3.8169608177687491</c:v>
                </c:pt>
                <c:pt idx="35">
                  <c:v>3.5372613749021458</c:v>
                </c:pt>
                <c:pt idx="36">
                  <c:v>0</c:v>
                </c:pt>
              </c:numCache>
            </c:numRef>
          </c:xVal>
          <c:yVal>
            <c:numRef>
              <c:f>'DIAGRAM DE INTERACCIÓN 3'!$V$43:$V$79</c:f>
              <c:numCache>
                <c:formatCode>0.00</c:formatCode>
                <c:ptCount val="37"/>
                <c:pt idx="0">
                  <c:v>47.883856774713536</c:v>
                </c:pt>
                <c:pt idx="1">
                  <c:v>44.470044274713544</c:v>
                </c:pt>
                <c:pt idx="2">
                  <c:v>41.056231774713538</c:v>
                </c:pt>
                <c:pt idx="3">
                  <c:v>37.642419274713539</c:v>
                </c:pt>
                <c:pt idx="4">
                  <c:v>25.934438726236372</c:v>
                </c:pt>
                <c:pt idx="5">
                  <c:v>14.876310519701745</c:v>
                </c:pt>
                <c:pt idx="6">
                  <c:v>6.3662875486786623</c:v>
                </c:pt>
                <c:pt idx="7">
                  <c:v>0.1263502774037297</c:v>
                </c:pt>
                <c:pt idx="8">
                  <c:v>-6.0175749749300662</c:v>
                </c:pt>
                <c:pt idx="9">
                  <c:v>-11.55480850452302</c:v>
                </c:pt>
                <c:pt idx="10">
                  <c:v>-16.667357828197378</c:v>
                </c:pt>
                <c:pt idx="11">
                  <c:v>-22.963529758727212</c:v>
                </c:pt>
                <c:pt idx="12">
                  <c:v>-27.530832946741256</c:v>
                </c:pt>
                <c:pt idx="13">
                  <c:v>-31.180771057952757</c:v>
                </c:pt>
                <c:pt idx="14">
                  <c:v>-34.206386535254424</c:v>
                </c:pt>
                <c:pt idx="15">
                  <c:v>-36.773028826769426</c:v>
                </c:pt>
                <c:pt idx="16">
                  <c:v>-38.995221365150805</c:v>
                </c:pt>
                <c:pt idx="17">
                  <c:v>-40.954237012529916</c:v>
                </c:pt>
                <c:pt idx="18">
                  <c:v>-45.163987903266197</c:v>
                </c:pt>
                <c:pt idx="19">
                  <c:v>-50.040491121243903</c:v>
                </c:pt>
                <c:pt idx="20">
                  <c:v>-54.490632220378842</c:v>
                </c:pt>
                <c:pt idx="21">
                  <c:v>-58.457809181379943</c:v>
                </c:pt>
                <c:pt idx="22">
                  <c:v>-62.555703510755002</c:v>
                </c:pt>
                <c:pt idx="23">
                  <c:v>-66.511653224532211</c:v>
                </c:pt>
                <c:pt idx="24">
                  <c:v>-70.343401399661332</c:v>
                </c:pt>
                <c:pt idx="25">
                  <c:v>-74.06585222078013</c:v>
                </c:pt>
                <c:pt idx="26">
                  <c:v>-77.691616921043604</c:v>
                </c:pt>
                <c:pt idx="27">
                  <c:v>-81.231438402769072</c:v>
                </c:pt>
                <c:pt idx="28">
                  <c:v>-84.694524867942718</c:v>
                </c:pt>
                <c:pt idx="29">
                  <c:v>-88.088814421725061</c:v>
                </c:pt>
                <c:pt idx="30">
                  <c:v>-91.421186755255263</c:v>
                </c:pt>
                <c:pt idx="31">
                  <c:v>-94.697633857589963</c:v>
                </c:pt>
                <c:pt idx="32">
                  <c:v>-97.923398719153766</c:v>
                </c:pt>
                <c:pt idx="33">
                  <c:v>-101.10308881638034</c:v>
                </c:pt>
                <c:pt idx="34">
                  <c:v>-104.24076956965241</c:v>
                </c:pt>
                <c:pt idx="35">
                  <c:v>-106.7521344272575</c:v>
                </c:pt>
                <c:pt idx="36">
                  <c:v>-134.63489206684707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E4B-4549-9222-FEC117D63814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INTERACCIÓN'!#REF!</c:f>
            </c:numRef>
          </c:xVal>
          <c:yVal>
            <c:numRef>
              <c:f>'DIAGRAM DE INTERACCIÓN'!#REF!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E4B-4549-9222-FEC117D638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3087440"/>
        <c:axId val="2123086192"/>
      </c:scatterChart>
      <c:valAx>
        <c:axId val="21230874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123086192"/>
        <c:crosses val="autoZero"/>
        <c:crossBetween val="midCat"/>
      </c:valAx>
      <c:valAx>
        <c:axId val="2123086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1230874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3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3200" b="1"/>
              <a:t>Diagrama</a:t>
            </a:r>
            <a:r>
              <a:rPr lang="en-US" sz="3200" b="1" baseline="0"/>
              <a:t> de Interacción</a:t>
            </a:r>
            <a:endParaRPr lang="en-US" sz="32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3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P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 4'!$V$45:$V$81</c:f>
              <c:numCache>
                <c:formatCode>0.00</c:formatCode>
                <c:ptCount val="37"/>
                <c:pt idx="0" formatCode="General">
                  <c:v>0</c:v>
                </c:pt>
                <c:pt idx="1">
                  <c:v>0.64767609374999913</c:v>
                </c:pt>
                <c:pt idx="2">
                  <c:v>1.263110624999999</c:v>
                </c:pt>
                <c:pt idx="3">
                  <c:v>1.8463035937499992</c:v>
                </c:pt>
                <c:pt idx="4">
                  <c:v>3.4950802986387135</c:v>
                </c:pt>
                <c:pt idx="5">
                  <c:v>5.0256002629897552</c:v>
                </c:pt>
                <c:pt idx="6">
                  <c:v>6.1866086246404492</c:v>
                </c:pt>
                <c:pt idx="7">
                  <c:v>7.0149043582550341</c:v>
                </c:pt>
                <c:pt idx="8">
                  <c:v>7.8035947821938372</c:v>
                </c:pt>
                <c:pt idx="9">
                  <c:v>8.5878191286970171</c:v>
                </c:pt>
                <c:pt idx="10">
                  <c:v>9.2609057621495623</c:v>
                </c:pt>
                <c:pt idx="11">
                  <c:v>9.8443718145198282</c:v>
                </c:pt>
                <c:pt idx="12">
                  <c:v>10.352562040453382</c:v>
                </c:pt>
                <c:pt idx="13">
                  <c:v>10.766193991898533</c:v>
                </c:pt>
                <c:pt idx="14">
                  <c:v>11.07957862494972</c:v>
                </c:pt>
                <c:pt idx="15">
                  <c:v>11.349408515260748</c:v>
                </c:pt>
                <c:pt idx="16">
                  <c:v>11.559847329413522</c:v>
                </c:pt>
                <c:pt idx="17">
                  <c:v>11.748432287236373</c:v>
                </c:pt>
                <c:pt idx="18">
                  <c:v>11.659536425335377</c:v>
                </c:pt>
                <c:pt idx="19">
                  <c:v>11.439102867751277</c:v>
                </c:pt>
                <c:pt idx="20">
                  <c:v>11.181250540548881</c:v>
                </c:pt>
                <c:pt idx="21">
                  <c:v>10.919055577841947</c:v>
                </c:pt>
                <c:pt idx="22">
                  <c:v>10.648713580494736</c:v>
                </c:pt>
                <c:pt idx="23">
                  <c:v>10.367081784003803</c:v>
                </c:pt>
                <c:pt idx="24">
                  <c:v>10.071541217949616</c:v>
                </c:pt>
                <c:pt idx="25">
                  <c:v>9.7598919471797636</c:v>
                </c:pt>
                <c:pt idx="26">
                  <c:v>9.4482300428168742</c:v>
                </c:pt>
                <c:pt idx="27">
                  <c:v>9.0990546871909306</c:v>
                </c:pt>
                <c:pt idx="28">
                  <c:v>8.7289642565204115</c:v>
                </c:pt>
                <c:pt idx="29">
                  <c:v>8.3367870452064814</c:v>
                </c:pt>
                <c:pt idx="30">
                  <c:v>7.9215075750634796</c:v>
                </c:pt>
                <c:pt idx="31">
                  <c:v>7.4822413973490587</c:v>
                </c:pt>
                <c:pt idx="32">
                  <c:v>7.0182146194136639</c:v>
                </c:pt>
                <c:pt idx="33">
                  <c:v>6.5287471537773829</c:v>
                </c:pt>
                <c:pt idx="34">
                  <c:v>6.0132389232520609</c:v>
                </c:pt>
                <c:pt idx="35">
                  <c:v>5.5789037591783828</c:v>
                </c:pt>
                <c:pt idx="36" formatCode="General">
                  <c:v>0</c:v>
                </c:pt>
              </c:numCache>
            </c:numRef>
          </c:xVal>
          <c:yVal>
            <c:numRef>
              <c:f>'DIAGRAM DE INTERACCIÓN 4'!$W$45:$W$81</c:f>
              <c:numCache>
                <c:formatCode>0.00</c:formatCode>
                <c:ptCount val="37"/>
                <c:pt idx="0" formatCode="General">
                  <c:v>63.845142366284726</c:v>
                </c:pt>
                <c:pt idx="1">
                  <c:v>60.052017366284716</c:v>
                </c:pt>
                <c:pt idx="2">
                  <c:v>56.258892366284712</c:v>
                </c:pt>
                <c:pt idx="3">
                  <c:v>52.465767366284716</c:v>
                </c:pt>
                <c:pt idx="4">
                  <c:v>39.456900090198971</c:v>
                </c:pt>
                <c:pt idx="5">
                  <c:v>27.170090971827165</c:v>
                </c:pt>
                <c:pt idx="6">
                  <c:v>17.714509892912631</c:v>
                </c:pt>
                <c:pt idx="7">
                  <c:v>10.781246258162705</c:v>
                </c:pt>
                <c:pt idx="8">
                  <c:v>3.8200684703232182</c:v>
                </c:pt>
                <c:pt idx="9">
                  <c:v>-5.1888007025397416</c:v>
                </c:pt>
                <c:pt idx="10">
                  <c:v>-13.154521040830106</c:v>
                </c:pt>
                <c:pt idx="11">
                  <c:v>-20.361587681249496</c:v>
                </c:pt>
                <c:pt idx="12">
                  <c:v>-26.99966404826565</c:v>
                </c:pt>
                <c:pt idx="13">
                  <c:v>-33.935755871738188</c:v>
                </c:pt>
                <c:pt idx="14">
                  <c:v>-41.585565132286604</c:v>
                </c:pt>
                <c:pt idx="15">
                  <c:v>-48.721149824761874</c:v>
                </c:pt>
                <c:pt idx="16">
                  <c:v>-54.986690630583233</c:v>
                </c:pt>
                <c:pt idx="17">
                  <c:v>-61.360391128450168</c:v>
                </c:pt>
                <c:pt idx="18">
                  <c:v>-69.453078120203955</c:v>
                </c:pt>
                <c:pt idx="19">
                  <c:v>-77.733231191685718</c:v>
                </c:pt>
                <c:pt idx="20">
                  <c:v>-85.279658499026993</c:v>
                </c:pt>
                <c:pt idx="21">
                  <c:v>-92.468628443764317</c:v>
                </c:pt>
                <c:pt idx="22">
                  <c:v>-99.348885211707369</c:v>
                </c:pt>
                <c:pt idx="23">
                  <c:v>-105.96069573895971</c:v>
                </c:pt>
                <c:pt idx="24">
                  <c:v>-112.33761580560767</c:v>
                </c:pt>
                <c:pt idx="25">
                  <c:v>-118.50783226692383</c:v>
                </c:pt>
                <c:pt idx="26">
                  <c:v>-124.04295911381341</c:v>
                </c:pt>
                <c:pt idx="27">
                  <c:v>-129.86778621750244</c:v>
                </c:pt>
                <c:pt idx="28">
                  <c:v>-135.5474917423565</c:v>
                </c:pt>
                <c:pt idx="29">
                  <c:v>-141.09708826549652</c:v>
                </c:pt>
                <c:pt idx="30">
                  <c:v>-146.52958668709383</c:v>
                </c:pt>
                <c:pt idx="31">
                  <c:v>-151.85631908149134</c:v>
                </c:pt>
                <c:pt idx="32">
                  <c:v>-157.08720101373902</c:v>
                </c:pt>
                <c:pt idx="33">
                  <c:v>-162.23094616221408</c:v>
                </c:pt>
                <c:pt idx="34">
                  <c:v>-167.29524306666121</c:v>
                </c:pt>
                <c:pt idx="35">
                  <c:v>-171.38242872637949</c:v>
                </c:pt>
                <c:pt idx="36" formatCode="General">
                  <c:v>-217.31922381571761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4D2-4621-9CC9-2DDCD3ABE07F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 4'!$Y$45:$Y$81</c:f>
              <c:numCache>
                <c:formatCode>0.00</c:formatCode>
                <c:ptCount val="37"/>
                <c:pt idx="0">
                  <c:v>0</c:v>
                </c:pt>
                <c:pt idx="1">
                  <c:v>0.5829084843749992</c:v>
                </c:pt>
                <c:pt idx="2">
                  <c:v>1.1367995624999991</c:v>
                </c:pt>
                <c:pt idx="3">
                  <c:v>1.6616732343749994</c:v>
                </c:pt>
                <c:pt idx="4">
                  <c:v>3.1455722687748424</c:v>
                </c:pt>
                <c:pt idx="5">
                  <c:v>4.5230402366907798</c:v>
                </c:pt>
                <c:pt idx="6">
                  <c:v>5.5679477621764049</c:v>
                </c:pt>
                <c:pt idx="7">
                  <c:v>6.3134139224295307</c:v>
                </c:pt>
                <c:pt idx="8">
                  <c:v>7.0232353039744533</c:v>
                </c:pt>
                <c:pt idx="9">
                  <c:v>7.729037215827316</c:v>
                </c:pt>
                <c:pt idx="10">
                  <c:v>8.3348151859346071</c:v>
                </c:pt>
                <c:pt idx="11">
                  <c:v>8.8599346330678461</c:v>
                </c:pt>
                <c:pt idx="12">
                  <c:v>8.7399943217599159</c:v>
                </c:pt>
                <c:pt idx="13">
                  <c:v>8.564228884503768</c:v>
                </c:pt>
                <c:pt idx="14">
                  <c:v>8.3504478124832726</c:v>
                </c:pt>
                <c:pt idx="15">
                  <c:v>8.1427114110566876</c:v>
                </c:pt>
                <c:pt idx="16">
                  <c:v>7.9273085585637375</c:v>
                </c:pt>
                <c:pt idx="17">
                  <c:v>7.7280794382331859</c:v>
                </c:pt>
                <c:pt idx="18">
                  <c:v>7.5786986764679956</c:v>
                </c:pt>
                <c:pt idx="19">
                  <c:v>7.4354168640383307</c:v>
                </c:pt>
                <c:pt idx="20">
                  <c:v>7.2678128513567728</c:v>
                </c:pt>
                <c:pt idx="21">
                  <c:v>7.0973861255972661</c:v>
                </c:pt>
                <c:pt idx="22">
                  <c:v>6.921663827321578</c:v>
                </c:pt>
                <c:pt idx="23">
                  <c:v>6.738603159602472</c:v>
                </c:pt>
                <c:pt idx="24">
                  <c:v>6.5465017916672501</c:v>
                </c:pt>
                <c:pt idx="25">
                  <c:v>6.3439297656668465</c:v>
                </c:pt>
                <c:pt idx="26">
                  <c:v>6.1413495278309682</c:v>
                </c:pt>
                <c:pt idx="27">
                  <c:v>5.9143855466741053</c:v>
                </c:pt>
                <c:pt idx="28">
                  <c:v>5.6738267667382676</c:v>
                </c:pt>
                <c:pt idx="29">
                  <c:v>5.4189115793842131</c:v>
                </c:pt>
                <c:pt idx="30">
                  <c:v>5.1489799237912619</c:v>
                </c:pt>
                <c:pt idx="31">
                  <c:v>4.8634569082768886</c:v>
                </c:pt>
                <c:pt idx="32">
                  <c:v>4.5618395026188816</c:v>
                </c:pt>
                <c:pt idx="33">
                  <c:v>4.2436856499552986</c:v>
                </c:pt>
                <c:pt idx="34">
                  <c:v>3.9086053001138397</c:v>
                </c:pt>
                <c:pt idx="35">
                  <c:v>3.6262874434659489</c:v>
                </c:pt>
                <c:pt idx="36">
                  <c:v>0</c:v>
                </c:pt>
              </c:numCache>
            </c:numRef>
          </c:xVal>
          <c:yVal>
            <c:numRef>
              <c:f>'DIAGRAM DE INTERACCIÓN 4'!$Z$45:$Z$81</c:f>
              <c:numCache>
                <c:formatCode>0.00</c:formatCode>
                <c:ptCount val="37"/>
                <c:pt idx="0">
                  <c:v>57.460628129656257</c:v>
                </c:pt>
                <c:pt idx="1">
                  <c:v>54.046815629656244</c:v>
                </c:pt>
                <c:pt idx="2">
                  <c:v>50.633003129656245</c:v>
                </c:pt>
                <c:pt idx="3">
                  <c:v>47.219190629656246</c:v>
                </c:pt>
                <c:pt idx="4">
                  <c:v>35.511210081179073</c:v>
                </c:pt>
                <c:pt idx="5">
                  <c:v>24.45308187464445</c:v>
                </c:pt>
                <c:pt idx="6">
                  <c:v>15.943058903621369</c:v>
                </c:pt>
                <c:pt idx="7">
                  <c:v>9.7031216323464342</c:v>
                </c:pt>
                <c:pt idx="8">
                  <c:v>3.4380616232908965</c:v>
                </c:pt>
                <c:pt idx="9">
                  <c:v>-4.6699206322857671</c:v>
                </c:pt>
                <c:pt idx="10">
                  <c:v>-11.839068936747095</c:v>
                </c:pt>
                <c:pt idx="11">
                  <c:v>-18.325428913124547</c:v>
                </c:pt>
                <c:pt idx="12">
                  <c:v>-22.794059050230306</c:v>
                </c:pt>
                <c:pt idx="13">
                  <c:v>-26.995016147108977</c:v>
                </c:pt>
                <c:pt idx="14">
                  <c:v>-31.342174927826662</c:v>
                </c:pt>
                <c:pt idx="15">
                  <c:v>-34.955324949705229</c:v>
                </c:pt>
                <c:pt idx="16">
                  <c:v>-37.707804508265397</c:v>
                </c:pt>
                <c:pt idx="17">
                  <c:v>-40.362659919902306</c:v>
                </c:pt>
                <c:pt idx="18">
                  <c:v>-45.144500778132574</c:v>
                </c:pt>
                <c:pt idx="19">
                  <c:v>-50.526600274595715</c:v>
                </c:pt>
                <c:pt idx="20">
                  <c:v>-55.431778024367546</c:v>
                </c:pt>
                <c:pt idx="21">
                  <c:v>-60.104608488446807</c:v>
                </c:pt>
                <c:pt idx="22">
                  <c:v>-64.576775387609786</c:v>
                </c:pt>
                <c:pt idx="23">
                  <c:v>-68.874452230323811</c:v>
                </c:pt>
                <c:pt idx="24">
                  <c:v>-73.019450273644992</c:v>
                </c:pt>
                <c:pt idx="25">
                  <c:v>-77.030090973500492</c:v>
                </c:pt>
                <c:pt idx="26">
                  <c:v>-80.627923423978714</c:v>
                </c:pt>
                <c:pt idx="27">
                  <c:v>-84.414061041376584</c:v>
                </c:pt>
                <c:pt idx="28">
                  <c:v>-88.105869632531721</c:v>
                </c:pt>
                <c:pt idx="29">
                  <c:v>-91.71310737257275</c:v>
                </c:pt>
                <c:pt idx="30">
                  <c:v>-95.244231346610988</c:v>
                </c:pt>
                <c:pt idx="31">
                  <c:v>-98.706607402969368</c:v>
                </c:pt>
                <c:pt idx="32">
                  <c:v>-102.10668065893037</c:v>
                </c:pt>
                <c:pt idx="33">
                  <c:v>-105.45011500543916</c:v>
                </c:pt>
                <c:pt idx="34">
                  <c:v>-108.74190799332979</c:v>
                </c:pt>
                <c:pt idx="35">
                  <c:v>-111.39857867214667</c:v>
                </c:pt>
                <c:pt idx="36">
                  <c:v>-141.25749548021645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64D2-4621-9CC9-2DDCD3ABE07F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INTERACCIÓN'!#REF!</c:f>
            </c:numRef>
          </c:xVal>
          <c:yVal>
            <c:numRef>
              <c:f>'DIAGRAM DE INTERACCIÓN'!#REF!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64D2-4621-9CC9-2DDCD3ABE0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3087440"/>
        <c:axId val="2123086192"/>
      </c:scatterChart>
      <c:valAx>
        <c:axId val="21230874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123086192"/>
        <c:crosses val="autoZero"/>
        <c:crossBetween val="midCat"/>
      </c:valAx>
      <c:valAx>
        <c:axId val="2123086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1230874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3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3200" b="1"/>
              <a:t>Diagrama</a:t>
            </a:r>
            <a:r>
              <a:rPr lang="en-US" sz="3200" b="1" baseline="0"/>
              <a:t> de Interacción</a:t>
            </a:r>
            <a:endParaRPr lang="en-US" sz="32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3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PE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 5'!$Z$49:$Z$85</c:f>
              <c:numCache>
                <c:formatCode>0.00</c:formatCode>
                <c:ptCount val="37"/>
                <c:pt idx="0" formatCode="General">
                  <c:v>0</c:v>
                </c:pt>
                <c:pt idx="1">
                  <c:v>0.64767609374999868</c:v>
                </c:pt>
                <c:pt idx="2">
                  <c:v>1.2631106249999986</c:v>
                </c:pt>
                <c:pt idx="3">
                  <c:v>1.8463035937499988</c:v>
                </c:pt>
                <c:pt idx="4">
                  <c:v>3.4950802986387135</c:v>
                </c:pt>
                <c:pt idx="5">
                  <c:v>5.0256002629897552</c:v>
                </c:pt>
                <c:pt idx="6">
                  <c:v>6.1866086246404492</c:v>
                </c:pt>
                <c:pt idx="7">
                  <c:v>7.0609839179180724</c:v>
                </c:pt>
                <c:pt idx="8">
                  <c:v>8.0309722584940797</c:v>
                </c:pt>
                <c:pt idx="9">
                  <c:v>8.8469405511643089</c:v>
                </c:pt>
                <c:pt idx="10">
                  <c:v>9.5454223415504913</c:v>
                </c:pt>
                <c:pt idx="11">
                  <c:v>10.149666249593732</c:v>
                </c:pt>
                <c:pt idx="12">
                  <c:v>10.675171355254763</c:v>
                </c:pt>
                <c:pt idx="13">
                  <c:v>11.1326677908141</c:v>
                </c:pt>
                <c:pt idx="14">
                  <c:v>11.480652237898312</c:v>
                </c:pt>
                <c:pt idx="15">
                  <c:v>11.72194813187479</c:v>
                </c:pt>
                <c:pt idx="16">
                  <c:v>11.925377253947957</c:v>
                </c:pt>
                <c:pt idx="17">
                  <c:v>12.091932288130161</c:v>
                </c:pt>
                <c:pt idx="18">
                  <c:v>11.983454271881921</c:v>
                </c:pt>
                <c:pt idx="19">
                  <c:v>11.745499839355556</c:v>
                </c:pt>
                <c:pt idx="20">
                  <c:v>11.471878724705114</c:v>
                </c:pt>
                <c:pt idx="21">
                  <c:v>11.195416763830906</c:v>
                </c:pt>
                <c:pt idx="22">
                  <c:v>10.912104768149808</c:v>
                </c:pt>
                <c:pt idx="23">
                  <c:v>10.618630799267065</c:v>
                </c:pt>
                <c:pt idx="24">
                  <c:v>10.312234908520384</c:v>
                </c:pt>
                <c:pt idx="25">
                  <c:v>9.9905987390334374</c:v>
                </c:pt>
                <c:pt idx="26">
                  <c:v>9.6517606042185644</c:v>
                </c:pt>
                <c:pt idx="27">
                  <c:v>9.2940494377233112</c:v>
                </c:pt>
                <c:pt idx="28">
                  <c:v>8.9429692290295542</c:v>
                </c:pt>
                <c:pt idx="29">
                  <c:v>8.5434125359049631</c:v>
                </c:pt>
                <c:pt idx="30">
                  <c:v>8.1212455494053462</c:v>
                </c:pt>
                <c:pt idx="31">
                  <c:v>7.6755362112282839</c:v>
                </c:pt>
                <c:pt idx="32">
                  <c:v>7.2054689703591643</c:v>
                </c:pt>
                <c:pt idx="33">
                  <c:v>6.7103271304518071</c:v>
                </c:pt>
                <c:pt idx="34">
                  <c:v>6.1894783123772381</c:v>
                </c:pt>
                <c:pt idx="35">
                  <c:v>5.7501077371856972</c:v>
                </c:pt>
                <c:pt idx="36" formatCode="General">
                  <c:v>0</c:v>
                </c:pt>
              </c:numCache>
            </c:numRef>
          </c:xVal>
          <c:yVal>
            <c:numRef>
              <c:f>'DIAGRAM DE INTERACCIÓN 5'!$AA$49:$AA$85</c:f>
              <c:numCache>
                <c:formatCode>0.00</c:formatCode>
                <c:ptCount val="37"/>
                <c:pt idx="0" formatCode="General">
                  <c:v>74.485999427332175</c:v>
                </c:pt>
                <c:pt idx="1">
                  <c:v>70.692874427332171</c:v>
                </c:pt>
                <c:pt idx="2">
                  <c:v>66.899749427332168</c:v>
                </c:pt>
                <c:pt idx="3">
                  <c:v>63.106624427332164</c:v>
                </c:pt>
                <c:pt idx="4">
                  <c:v>50.097757151246427</c:v>
                </c:pt>
                <c:pt idx="5">
                  <c:v>37.81094803287462</c:v>
                </c:pt>
                <c:pt idx="6">
                  <c:v>28.355366953960086</c:v>
                </c:pt>
                <c:pt idx="7">
                  <c:v>20.648469578802374</c:v>
                </c:pt>
                <c:pt idx="8">
                  <c:v>10.688330003402582</c:v>
                </c:pt>
                <c:pt idx="9">
                  <c:v>2.0986381114249673</c:v>
                </c:pt>
                <c:pt idx="10">
                  <c:v>-5.5317404021571273</c:v>
                </c:pt>
                <c:pt idx="11">
                  <c:v>-14.122751844861559</c:v>
                </c:pt>
                <c:pt idx="12">
                  <c:v>-22.547499895987116</c:v>
                </c:pt>
                <c:pt idx="13">
                  <c:v>-30.259690554631824</c:v>
                </c:pt>
                <c:pt idx="14">
                  <c:v>-37.333022613960857</c:v>
                </c:pt>
                <c:pt idx="15">
                  <c:v>-45.735376004179876</c:v>
                </c:pt>
                <c:pt idx="16">
                  <c:v>-53.561575845621519</c:v>
                </c:pt>
                <c:pt idx="17">
                  <c:v>-60.913296293952371</c:v>
                </c:pt>
                <c:pt idx="18">
                  <c:v>-69.875334352785202</c:v>
                </c:pt>
                <c:pt idx="19">
                  <c:v>-78.9333278527061</c:v>
                </c:pt>
                <c:pt idx="20">
                  <c:v>-87.179811545642622</c:v>
                </c:pt>
                <c:pt idx="21">
                  <c:v>-94.54992941415729</c:v>
                </c:pt>
                <c:pt idx="22">
                  <c:v>-102.00599013562024</c:v>
                </c:pt>
                <c:pt idx="23">
                  <c:v>-109.14353470739071</c:v>
                </c:pt>
                <c:pt idx="24">
                  <c:v>-116.00237764818033</c:v>
                </c:pt>
                <c:pt idx="25">
                  <c:v>-122.61596315370677</c:v>
                </c:pt>
                <c:pt idx="26">
                  <c:v>-129.01259015880811</c:v>
                </c:pt>
                <c:pt idx="27">
                  <c:v>-135.21636516353155</c:v>
                </c:pt>
                <c:pt idx="28">
                  <c:v>-140.79571445710883</c:v>
                </c:pt>
                <c:pt idx="29">
                  <c:v>-146.6729235744929</c:v>
                </c:pt>
                <c:pt idx="30">
                  <c:v>-152.41119375071804</c:v>
                </c:pt>
                <c:pt idx="31">
                  <c:v>-158.02397068976737</c:v>
                </c:pt>
                <c:pt idx="32">
                  <c:v>-163.5230193826261</c:v>
                </c:pt>
                <c:pt idx="33">
                  <c:v>-168.91867876076614</c:v>
                </c:pt>
                <c:pt idx="34">
                  <c:v>-174.22007141078026</c:v>
                </c:pt>
                <c:pt idx="35">
                  <c:v>-178.53080448774742</c:v>
                </c:pt>
                <c:pt idx="36" formatCode="General">
                  <c:v>-227.50784445167054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C4C-41BB-A022-512EFDCE91BA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 5'!$AC$49:$AC$85</c:f>
              <c:numCache>
                <c:formatCode>0.00</c:formatCode>
                <c:ptCount val="37"/>
                <c:pt idx="0">
                  <c:v>0</c:v>
                </c:pt>
                <c:pt idx="1">
                  <c:v>0.58290848437499887</c:v>
                </c:pt>
                <c:pt idx="2">
                  <c:v>1.1367995624999987</c:v>
                </c:pt>
                <c:pt idx="3">
                  <c:v>1.6616732343749989</c:v>
                </c:pt>
                <c:pt idx="4">
                  <c:v>3.1455722687748424</c:v>
                </c:pt>
                <c:pt idx="5">
                  <c:v>4.5230402366907798</c:v>
                </c:pt>
                <c:pt idx="6">
                  <c:v>5.5679477621764049</c:v>
                </c:pt>
                <c:pt idx="7">
                  <c:v>6.3548855261262656</c:v>
                </c:pt>
                <c:pt idx="8">
                  <c:v>7.2278750326446719</c:v>
                </c:pt>
                <c:pt idx="9">
                  <c:v>7.9622464960478778</c:v>
                </c:pt>
                <c:pt idx="10">
                  <c:v>8.5908801073954422</c:v>
                </c:pt>
                <c:pt idx="11">
                  <c:v>9.1346996246343597</c:v>
                </c:pt>
                <c:pt idx="12">
                  <c:v>9.012352368830113</c:v>
                </c:pt>
                <c:pt idx="13">
                  <c:v>8.8557493137704402</c:v>
                </c:pt>
                <c:pt idx="14">
                  <c:v>8.6527286470945732</c:v>
                </c:pt>
                <c:pt idx="15">
                  <c:v>8.4099925282351666</c:v>
                </c:pt>
                <c:pt idx="16">
                  <c:v>8.177975234048283</c:v>
                </c:pt>
                <c:pt idx="17">
                  <c:v>7.9540325891760864</c:v>
                </c:pt>
                <c:pt idx="18">
                  <c:v>7.789245276723249</c:v>
                </c:pt>
                <c:pt idx="19">
                  <c:v>7.6345748955811121</c:v>
                </c:pt>
                <c:pt idx="20">
                  <c:v>7.4567211710583239</c:v>
                </c:pt>
                <c:pt idx="21">
                  <c:v>7.2770208964900887</c:v>
                </c:pt>
                <c:pt idx="22">
                  <c:v>7.0928680992973758</c:v>
                </c:pt>
                <c:pt idx="23">
                  <c:v>6.902110019523592</c:v>
                </c:pt>
                <c:pt idx="24">
                  <c:v>6.7029526905382504</c:v>
                </c:pt>
                <c:pt idx="25">
                  <c:v>6.4938891803717347</c:v>
                </c:pt>
                <c:pt idx="26">
                  <c:v>6.2736443927420673</c:v>
                </c:pt>
                <c:pt idx="27">
                  <c:v>6.0411321345201525</c:v>
                </c:pt>
                <c:pt idx="28">
                  <c:v>5.81292999886921</c:v>
                </c:pt>
                <c:pt idx="29">
                  <c:v>5.5532181483382264</c:v>
                </c:pt>
                <c:pt idx="30">
                  <c:v>5.2788096071134749</c:v>
                </c:pt>
                <c:pt idx="31">
                  <c:v>4.9890985372983847</c:v>
                </c:pt>
                <c:pt idx="32">
                  <c:v>4.6835548307334571</c:v>
                </c:pt>
                <c:pt idx="33">
                  <c:v>4.3617126347936743</c:v>
                </c:pt>
                <c:pt idx="34">
                  <c:v>4.0231609030452047</c:v>
                </c:pt>
                <c:pt idx="35">
                  <c:v>3.7375700291707035</c:v>
                </c:pt>
                <c:pt idx="36">
                  <c:v>0</c:v>
                </c:pt>
              </c:numCache>
            </c:numRef>
          </c:xVal>
          <c:yVal>
            <c:numRef>
              <c:f>'DIAGRAM DE INTERACCIÓN 5'!$AD$49:$AD$85</c:f>
              <c:numCache>
                <c:formatCode>0.00</c:formatCode>
                <c:ptCount val="37"/>
                <c:pt idx="0">
                  <c:v>67.037399484598964</c:v>
                </c:pt>
                <c:pt idx="1">
                  <c:v>63.623586984598958</c:v>
                </c:pt>
                <c:pt idx="2">
                  <c:v>60.209774484598952</c:v>
                </c:pt>
                <c:pt idx="3">
                  <c:v>56.795961984598947</c:v>
                </c:pt>
                <c:pt idx="4">
                  <c:v>45.087981436121787</c:v>
                </c:pt>
                <c:pt idx="5">
                  <c:v>34.029853229587161</c:v>
                </c:pt>
                <c:pt idx="6">
                  <c:v>25.519830258564077</c:v>
                </c:pt>
                <c:pt idx="7">
                  <c:v>18.583622620922135</c:v>
                </c:pt>
                <c:pt idx="8">
                  <c:v>9.6194970030623246</c:v>
                </c:pt>
                <c:pt idx="9">
                  <c:v>1.8887743002824706</c:v>
                </c:pt>
                <c:pt idx="10">
                  <c:v>-4.9785663619414144</c:v>
                </c:pt>
                <c:pt idx="11">
                  <c:v>-12.710476660375404</c:v>
                </c:pt>
                <c:pt idx="12">
                  <c:v>-19.035386630938692</c:v>
                </c:pt>
                <c:pt idx="13">
                  <c:v>-24.070801258005616</c:v>
                </c:pt>
                <c:pt idx="14">
                  <c:v>-28.137122139114989</c:v>
                </c:pt>
                <c:pt idx="15">
                  <c:v>-32.813160930585084</c:v>
                </c:pt>
                <c:pt idx="16">
                  <c:v>-36.730514384111494</c:v>
                </c:pt>
                <c:pt idx="17">
                  <c:v>-40.068562434131678</c:v>
                </c:pt>
                <c:pt idx="18">
                  <c:v>-45.418967329310384</c:v>
                </c:pt>
                <c:pt idx="19">
                  <c:v>-51.306663104258966</c:v>
                </c:pt>
                <c:pt idx="20">
                  <c:v>-56.666877504667703</c:v>
                </c:pt>
                <c:pt idx="21">
                  <c:v>-61.457454119202239</c:v>
                </c:pt>
                <c:pt idx="22">
                  <c:v>-66.303893588153159</c:v>
                </c:pt>
                <c:pt idx="23">
                  <c:v>-70.943297559803966</c:v>
                </c:pt>
                <c:pt idx="24">
                  <c:v>-75.40154547131722</c:v>
                </c:pt>
                <c:pt idx="25">
                  <c:v>-79.700376049909408</c:v>
                </c:pt>
                <c:pt idx="26">
                  <c:v>-83.858183603225271</c:v>
                </c:pt>
                <c:pt idx="27">
                  <c:v>-87.890637356295514</c:v>
                </c:pt>
                <c:pt idx="28">
                  <c:v>-91.517214397120739</c:v>
                </c:pt>
                <c:pt idx="29">
                  <c:v>-95.337400323420383</c:v>
                </c:pt>
                <c:pt idx="30">
                  <c:v>-99.067275937966727</c:v>
                </c:pt>
                <c:pt idx="31">
                  <c:v>-102.71558094834879</c:v>
                </c:pt>
                <c:pt idx="32">
                  <c:v>-106.28996259870696</c:v>
                </c:pt>
                <c:pt idx="33">
                  <c:v>-109.797141194498</c:v>
                </c:pt>
                <c:pt idx="34">
                  <c:v>-113.24304641700718</c:v>
                </c:pt>
                <c:pt idx="35">
                  <c:v>-116.04502291703582</c:v>
                </c:pt>
                <c:pt idx="36">
                  <c:v>-147.88009889358585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C4C-41BB-A022-512EFDCE91BA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'DIAGRAM DE INTERACCIÓN'!#REF!</c:f>
            </c:numRef>
          </c:xVal>
          <c:yVal>
            <c:numRef>
              <c:f>'DIAGRAM DE INTERACCIÓN'!#REF!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1C4C-41BB-A022-512EFDCE91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3087440"/>
        <c:axId val="2123086192"/>
      </c:scatterChart>
      <c:valAx>
        <c:axId val="21230874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123086192"/>
        <c:crosses val="autoZero"/>
        <c:crossBetween val="midCat"/>
      </c:valAx>
      <c:valAx>
        <c:axId val="2123086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21230874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image" Target="../media/image1.jpeg"/><Relationship Id="rId1" Type="http://schemas.openxmlformats.org/officeDocument/2006/relationships/chart" Target="../charts/chart1.xml"/><Relationship Id="rId4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image" Target="../media/image1.jpe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image" Target="../media/image1.jpeg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image" Target="../media/image1.jpeg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emf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26" Type="http://schemas.openxmlformats.org/officeDocument/2006/relationships/image" Target="../media/image29.png"/><Relationship Id="rId3" Type="http://schemas.openxmlformats.org/officeDocument/2006/relationships/image" Target="../media/image6.emf"/><Relationship Id="rId21" Type="http://schemas.openxmlformats.org/officeDocument/2006/relationships/image" Target="../media/image24.png"/><Relationship Id="rId7" Type="http://schemas.openxmlformats.org/officeDocument/2006/relationships/image" Target="../media/image10.png"/><Relationship Id="rId12" Type="http://schemas.openxmlformats.org/officeDocument/2006/relationships/image" Target="../media/image15.emf"/><Relationship Id="rId17" Type="http://schemas.openxmlformats.org/officeDocument/2006/relationships/image" Target="../media/image20.png"/><Relationship Id="rId25" Type="http://schemas.openxmlformats.org/officeDocument/2006/relationships/image" Target="../media/image28.png"/><Relationship Id="rId2" Type="http://schemas.openxmlformats.org/officeDocument/2006/relationships/image" Target="../media/image5.emf"/><Relationship Id="rId16" Type="http://schemas.openxmlformats.org/officeDocument/2006/relationships/image" Target="../media/image19.png"/><Relationship Id="rId20" Type="http://schemas.openxmlformats.org/officeDocument/2006/relationships/image" Target="../media/image23.png"/><Relationship Id="rId29" Type="http://schemas.openxmlformats.org/officeDocument/2006/relationships/image" Target="../media/image32.png"/><Relationship Id="rId1" Type="http://schemas.openxmlformats.org/officeDocument/2006/relationships/image" Target="../media/image4.emf"/><Relationship Id="rId6" Type="http://schemas.openxmlformats.org/officeDocument/2006/relationships/image" Target="../media/image9.emf"/><Relationship Id="rId11" Type="http://schemas.openxmlformats.org/officeDocument/2006/relationships/image" Target="../media/image14.emf"/><Relationship Id="rId24" Type="http://schemas.openxmlformats.org/officeDocument/2006/relationships/image" Target="../media/image27.png"/><Relationship Id="rId5" Type="http://schemas.openxmlformats.org/officeDocument/2006/relationships/image" Target="../media/image8.emf"/><Relationship Id="rId15" Type="http://schemas.openxmlformats.org/officeDocument/2006/relationships/image" Target="../media/image18.png"/><Relationship Id="rId23" Type="http://schemas.openxmlformats.org/officeDocument/2006/relationships/image" Target="../media/image26.png"/><Relationship Id="rId28" Type="http://schemas.openxmlformats.org/officeDocument/2006/relationships/image" Target="../media/image31.png"/><Relationship Id="rId10" Type="http://schemas.openxmlformats.org/officeDocument/2006/relationships/image" Target="../media/image13.emf"/><Relationship Id="rId19" Type="http://schemas.openxmlformats.org/officeDocument/2006/relationships/image" Target="../media/image22.png"/><Relationship Id="rId4" Type="http://schemas.openxmlformats.org/officeDocument/2006/relationships/image" Target="../media/image7.png"/><Relationship Id="rId9" Type="http://schemas.openxmlformats.org/officeDocument/2006/relationships/image" Target="../media/image12.emf"/><Relationship Id="rId14" Type="http://schemas.openxmlformats.org/officeDocument/2006/relationships/image" Target="../media/image17.png"/><Relationship Id="rId22" Type="http://schemas.openxmlformats.org/officeDocument/2006/relationships/image" Target="../media/image25.png"/><Relationship Id="rId27" Type="http://schemas.openxmlformats.org/officeDocument/2006/relationships/image" Target="../media/image30.png"/><Relationship Id="rId30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55186</xdr:colOff>
      <xdr:row>78</xdr:row>
      <xdr:rowOff>27693</xdr:rowOff>
    </xdr:from>
    <xdr:to>
      <xdr:col>13</xdr:col>
      <xdr:colOff>209550</xdr:colOff>
      <xdr:row>113</xdr:row>
      <xdr:rowOff>76200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321ABBF4-B264-4402-8712-42854289D7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513521</xdr:colOff>
      <xdr:row>5</xdr:row>
      <xdr:rowOff>0</xdr:rowOff>
    </xdr:from>
    <xdr:to>
      <xdr:col>12</xdr:col>
      <xdr:colOff>0</xdr:colOff>
      <xdr:row>14</xdr:row>
      <xdr:rowOff>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A4A2BCCE-6314-4CAA-8EA0-09541D903853}"/>
            </a:ext>
          </a:extLst>
        </xdr:cNvPr>
        <xdr:cNvSpPr/>
      </xdr:nvSpPr>
      <xdr:spPr>
        <a:xfrm>
          <a:off x="5228396" y="1104900"/>
          <a:ext cx="1029529" cy="1457325"/>
        </a:xfrm>
        <a:prstGeom prst="rect">
          <a:avLst/>
        </a:prstGeom>
        <a:noFill/>
        <a:ln w="28575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119268</xdr:colOff>
      <xdr:row>5</xdr:row>
      <xdr:rowOff>115955</xdr:rowOff>
    </xdr:from>
    <xdr:to>
      <xdr:col>11</xdr:col>
      <xdr:colOff>405847</xdr:colOff>
      <xdr:row>13</xdr:row>
      <xdr:rowOff>57977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F440817-35E8-4061-90D8-B0825DFCD7DB}"/>
            </a:ext>
          </a:extLst>
        </xdr:cNvPr>
        <xdr:cNvSpPr/>
      </xdr:nvSpPr>
      <xdr:spPr>
        <a:xfrm>
          <a:off x="5348493" y="1220855"/>
          <a:ext cx="800929" cy="1237422"/>
        </a:xfrm>
        <a:prstGeom prst="rect">
          <a:avLst/>
        </a:prstGeom>
        <a:noFill/>
        <a:ln w="1905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5</xdr:row>
      <xdr:rowOff>136246</xdr:rowOff>
    </xdr:from>
    <xdr:to>
      <xdr:col>10</xdr:col>
      <xdr:colOff>235744</xdr:colOff>
      <xdr:row>6</xdr:row>
      <xdr:rowOff>73818</xdr:rowOff>
    </xdr:to>
    <xdr:sp macro="" textlink="">
      <xdr:nvSpPr>
        <xdr:cNvPr id="5" name="Diagrama de flujo: conector 4">
          <a:extLst>
            <a:ext uri="{FF2B5EF4-FFF2-40B4-BE49-F238E27FC236}">
              <a16:creationId xmlns:a16="http://schemas.microsoft.com/office/drawing/2014/main" id="{E7B628E5-996E-4DAB-8682-9D7FF1322486}"/>
            </a:ext>
          </a:extLst>
        </xdr:cNvPr>
        <xdr:cNvSpPr/>
      </xdr:nvSpPr>
      <xdr:spPr>
        <a:xfrm>
          <a:off x="5367853" y="124114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350559</xdr:colOff>
      <xdr:row>5</xdr:row>
      <xdr:rowOff>136243</xdr:rowOff>
    </xdr:from>
    <xdr:to>
      <xdr:col>10</xdr:col>
      <xdr:colOff>447675</xdr:colOff>
      <xdr:row>6</xdr:row>
      <xdr:rowOff>73815</xdr:rowOff>
    </xdr:to>
    <xdr:sp macro="" textlink="">
      <xdr:nvSpPr>
        <xdr:cNvPr id="6" name="Diagrama de flujo: conector 5">
          <a:extLst>
            <a:ext uri="{FF2B5EF4-FFF2-40B4-BE49-F238E27FC236}">
              <a16:creationId xmlns:a16="http://schemas.microsoft.com/office/drawing/2014/main" id="{1900CBD4-50ED-40D8-8B11-C7BE79925912}"/>
            </a:ext>
          </a:extLst>
        </xdr:cNvPr>
        <xdr:cNvSpPr/>
      </xdr:nvSpPr>
      <xdr:spPr>
        <a:xfrm>
          <a:off x="5579784" y="124114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52901</xdr:colOff>
      <xdr:row>5</xdr:row>
      <xdr:rowOff>136244</xdr:rowOff>
    </xdr:from>
    <xdr:to>
      <xdr:col>11</xdr:col>
      <xdr:colOff>150017</xdr:colOff>
      <xdr:row>6</xdr:row>
      <xdr:rowOff>73816</xdr:rowOff>
    </xdr:to>
    <xdr:sp macro="" textlink="">
      <xdr:nvSpPr>
        <xdr:cNvPr id="7" name="Diagrama de flujo: conector 6">
          <a:extLst>
            <a:ext uri="{FF2B5EF4-FFF2-40B4-BE49-F238E27FC236}">
              <a16:creationId xmlns:a16="http://schemas.microsoft.com/office/drawing/2014/main" id="{10F37BF7-1FDD-44DD-8170-E7FB614AFE18}"/>
            </a:ext>
          </a:extLst>
        </xdr:cNvPr>
        <xdr:cNvSpPr/>
      </xdr:nvSpPr>
      <xdr:spPr>
        <a:xfrm>
          <a:off x="5796476" y="124114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288646</xdr:colOff>
      <xdr:row>5</xdr:row>
      <xdr:rowOff>136246</xdr:rowOff>
    </xdr:from>
    <xdr:to>
      <xdr:col>11</xdr:col>
      <xdr:colOff>385762</xdr:colOff>
      <xdr:row>6</xdr:row>
      <xdr:rowOff>73818</xdr:rowOff>
    </xdr:to>
    <xdr:sp macro="" textlink="">
      <xdr:nvSpPr>
        <xdr:cNvPr id="8" name="Diagrama de flujo: conector 7">
          <a:extLst>
            <a:ext uri="{FF2B5EF4-FFF2-40B4-BE49-F238E27FC236}">
              <a16:creationId xmlns:a16="http://schemas.microsoft.com/office/drawing/2014/main" id="{E5947073-F41B-4772-87FE-06D22C0E5872}"/>
            </a:ext>
          </a:extLst>
        </xdr:cNvPr>
        <xdr:cNvSpPr/>
      </xdr:nvSpPr>
      <xdr:spPr>
        <a:xfrm>
          <a:off x="6032221" y="124114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12</xdr:row>
      <xdr:rowOff>100539</xdr:rowOff>
    </xdr:from>
    <xdr:to>
      <xdr:col>10</xdr:col>
      <xdr:colOff>235744</xdr:colOff>
      <xdr:row>13</xdr:row>
      <xdr:rowOff>38111</xdr:rowOff>
    </xdr:to>
    <xdr:sp macro="" textlink="">
      <xdr:nvSpPr>
        <xdr:cNvPr id="9" name="Diagrama de flujo: conector 8">
          <a:extLst>
            <a:ext uri="{FF2B5EF4-FFF2-40B4-BE49-F238E27FC236}">
              <a16:creationId xmlns:a16="http://schemas.microsoft.com/office/drawing/2014/main" id="{FEB6476E-1EA9-4ED6-B106-171A402C1B03}"/>
            </a:ext>
          </a:extLst>
        </xdr:cNvPr>
        <xdr:cNvSpPr/>
      </xdr:nvSpPr>
      <xdr:spPr>
        <a:xfrm>
          <a:off x="5367853" y="233891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12</xdr:row>
      <xdr:rowOff>100540</xdr:rowOff>
    </xdr:from>
    <xdr:to>
      <xdr:col>11</xdr:col>
      <xdr:colOff>385760</xdr:colOff>
      <xdr:row>13</xdr:row>
      <xdr:rowOff>38112</xdr:rowOff>
    </xdr:to>
    <xdr:sp macro="" textlink="">
      <xdr:nvSpPr>
        <xdr:cNvPr id="10" name="Diagrama de flujo: conector 9">
          <a:extLst>
            <a:ext uri="{FF2B5EF4-FFF2-40B4-BE49-F238E27FC236}">
              <a16:creationId xmlns:a16="http://schemas.microsoft.com/office/drawing/2014/main" id="{367EB871-8358-4C63-BB7E-937E14146519}"/>
            </a:ext>
          </a:extLst>
        </xdr:cNvPr>
        <xdr:cNvSpPr/>
      </xdr:nvSpPr>
      <xdr:spPr>
        <a:xfrm>
          <a:off x="6032219" y="233891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55284</xdr:colOff>
      <xdr:row>12</xdr:row>
      <xdr:rowOff>100540</xdr:rowOff>
    </xdr:from>
    <xdr:to>
      <xdr:col>11</xdr:col>
      <xdr:colOff>152400</xdr:colOff>
      <xdr:row>13</xdr:row>
      <xdr:rowOff>38112</xdr:rowOff>
    </xdr:to>
    <xdr:sp macro="" textlink="">
      <xdr:nvSpPr>
        <xdr:cNvPr id="11" name="Diagrama de flujo: conector 10">
          <a:extLst>
            <a:ext uri="{FF2B5EF4-FFF2-40B4-BE49-F238E27FC236}">
              <a16:creationId xmlns:a16="http://schemas.microsoft.com/office/drawing/2014/main" id="{6EE59985-4907-4525-BA4D-CEA27C3757ED}"/>
            </a:ext>
          </a:extLst>
        </xdr:cNvPr>
        <xdr:cNvSpPr/>
      </xdr:nvSpPr>
      <xdr:spPr>
        <a:xfrm>
          <a:off x="5798859" y="233891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360086</xdr:colOff>
      <xdr:row>12</xdr:row>
      <xdr:rowOff>100535</xdr:rowOff>
    </xdr:from>
    <xdr:to>
      <xdr:col>10</xdr:col>
      <xdr:colOff>457202</xdr:colOff>
      <xdr:row>13</xdr:row>
      <xdr:rowOff>38107</xdr:rowOff>
    </xdr:to>
    <xdr:sp macro="" textlink="">
      <xdr:nvSpPr>
        <xdr:cNvPr id="12" name="Diagrama de flujo: conector 11">
          <a:extLst>
            <a:ext uri="{FF2B5EF4-FFF2-40B4-BE49-F238E27FC236}">
              <a16:creationId xmlns:a16="http://schemas.microsoft.com/office/drawing/2014/main" id="{BD1E1931-194D-4B07-AFB7-029EC098B1E1}"/>
            </a:ext>
          </a:extLst>
        </xdr:cNvPr>
        <xdr:cNvSpPr/>
      </xdr:nvSpPr>
      <xdr:spPr>
        <a:xfrm>
          <a:off x="5589311" y="233891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61912</xdr:colOff>
      <xdr:row>5</xdr:row>
      <xdr:rowOff>97632</xdr:rowOff>
    </xdr:from>
    <xdr:to>
      <xdr:col>11</xdr:col>
      <xdr:colOff>457199</xdr:colOff>
      <xdr:row>6</xdr:row>
      <xdr:rowOff>114300</xdr:rowOff>
    </xdr:to>
    <xdr:sp macro="" textlink="">
      <xdr:nvSpPr>
        <xdr:cNvPr id="19" name="Elipse 18">
          <a:extLst>
            <a:ext uri="{FF2B5EF4-FFF2-40B4-BE49-F238E27FC236}">
              <a16:creationId xmlns:a16="http://schemas.microsoft.com/office/drawing/2014/main" id="{BBB44D80-F1C7-41A9-9C17-7B54992649D2}"/>
            </a:ext>
          </a:extLst>
        </xdr:cNvPr>
        <xdr:cNvSpPr/>
      </xdr:nvSpPr>
      <xdr:spPr>
        <a:xfrm>
          <a:off x="5291137" y="1202532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61905</xdr:colOff>
      <xdr:row>12</xdr:row>
      <xdr:rowOff>59528</xdr:rowOff>
    </xdr:from>
    <xdr:to>
      <xdr:col>11</xdr:col>
      <xdr:colOff>457192</xdr:colOff>
      <xdr:row>13</xdr:row>
      <xdr:rowOff>76196</xdr:rowOff>
    </xdr:to>
    <xdr:sp macro="" textlink="">
      <xdr:nvSpPr>
        <xdr:cNvPr id="23" name="Elipse 22">
          <a:extLst>
            <a:ext uri="{FF2B5EF4-FFF2-40B4-BE49-F238E27FC236}">
              <a16:creationId xmlns:a16="http://schemas.microsoft.com/office/drawing/2014/main" id="{EF469D91-A5D3-4D1C-8341-D9208DF340AD}"/>
            </a:ext>
          </a:extLst>
        </xdr:cNvPr>
        <xdr:cNvSpPr/>
      </xdr:nvSpPr>
      <xdr:spPr>
        <a:xfrm>
          <a:off x="5291130" y="2297903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457200</xdr:colOff>
      <xdr:row>6</xdr:row>
      <xdr:rowOff>25004</xdr:rowOff>
    </xdr:from>
    <xdr:to>
      <xdr:col>13</xdr:col>
      <xdr:colOff>1</xdr:colOff>
      <xdr:row>7</xdr:row>
      <xdr:rowOff>85725</xdr:rowOff>
    </xdr:to>
    <xdr:cxnSp macro="">
      <xdr:nvCxnSpPr>
        <xdr:cNvPr id="24" name="Conector: curvado 23">
          <a:extLst>
            <a:ext uri="{FF2B5EF4-FFF2-40B4-BE49-F238E27FC236}">
              <a16:creationId xmlns:a16="http://schemas.microsoft.com/office/drawing/2014/main" id="{D1B14C14-BE05-4DE1-9104-36A180A08CDF}"/>
            </a:ext>
          </a:extLst>
        </xdr:cNvPr>
        <xdr:cNvCxnSpPr>
          <a:endCxn id="19" idx="6"/>
        </xdr:cNvCxnSpPr>
      </xdr:nvCxnSpPr>
      <xdr:spPr>
        <a:xfrm rot="10800000">
          <a:off x="6200775" y="1291829"/>
          <a:ext cx="571501" cy="222646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457193</xdr:colOff>
      <xdr:row>9</xdr:row>
      <xdr:rowOff>76200</xdr:rowOff>
    </xdr:from>
    <xdr:to>
      <xdr:col>12</xdr:col>
      <xdr:colOff>504826</xdr:colOff>
      <xdr:row>12</xdr:row>
      <xdr:rowOff>148825</xdr:rowOff>
    </xdr:to>
    <xdr:cxnSp macro="">
      <xdr:nvCxnSpPr>
        <xdr:cNvPr id="28" name="Conector: curvado 27">
          <a:extLst>
            <a:ext uri="{FF2B5EF4-FFF2-40B4-BE49-F238E27FC236}">
              <a16:creationId xmlns:a16="http://schemas.microsoft.com/office/drawing/2014/main" id="{7D22EEE7-6E31-4D09-9375-248C3BAAF6F4}"/>
            </a:ext>
          </a:extLst>
        </xdr:cNvPr>
        <xdr:cNvCxnSpPr>
          <a:endCxn id="23" idx="6"/>
        </xdr:cNvCxnSpPr>
      </xdr:nvCxnSpPr>
      <xdr:spPr>
        <a:xfrm rot="10800000" flipV="1">
          <a:off x="6200768" y="1828800"/>
          <a:ext cx="561983" cy="558400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344521</xdr:colOff>
      <xdr:row>4</xdr:row>
      <xdr:rowOff>158074</xdr:rowOff>
    </xdr:from>
    <xdr:to>
      <xdr:col>9</xdr:col>
      <xdr:colOff>348575</xdr:colOff>
      <xdr:row>6</xdr:row>
      <xdr:rowOff>28372</xdr:rowOff>
    </xdr:to>
    <xdr:cxnSp macro="">
      <xdr:nvCxnSpPr>
        <xdr:cNvPr id="29" name="Conector recto de flecha 28">
          <a:extLst>
            <a:ext uri="{FF2B5EF4-FFF2-40B4-BE49-F238E27FC236}">
              <a16:creationId xmlns:a16="http://schemas.microsoft.com/office/drawing/2014/main" id="{6F32C36B-F6B1-491D-A3B8-0EE2897D8C11}"/>
            </a:ext>
          </a:extLst>
        </xdr:cNvPr>
        <xdr:cNvCxnSpPr/>
      </xdr:nvCxnSpPr>
      <xdr:spPr>
        <a:xfrm flipV="1">
          <a:off x="5059396" y="1101049"/>
          <a:ext cx="4054" cy="19414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16212</xdr:colOff>
      <xdr:row>5</xdr:row>
      <xdr:rowOff>0</xdr:rowOff>
    </xdr:from>
    <xdr:to>
      <xdr:col>8</xdr:col>
      <xdr:colOff>16212</xdr:colOff>
      <xdr:row>12</xdr:row>
      <xdr:rowOff>154021</xdr:rowOff>
    </xdr:to>
    <xdr:cxnSp macro="">
      <xdr:nvCxnSpPr>
        <xdr:cNvPr id="33" name="Conector recto de flecha 32">
          <a:extLst>
            <a:ext uri="{FF2B5EF4-FFF2-40B4-BE49-F238E27FC236}">
              <a16:creationId xmlns:a16="http://schemas.microsoft.com/office/drawing/2014/main" id="{E7F5BB02-1D95-4B9E-B53B-D40F4A1D6511}"/>
            </a:ext>
          </a:extLst>
        </xdr:cNvPr>
        <xdr:cNvCxnSpPr/>
      </xdr:nvCxnSpPr>
      <xdr:spPr>
        <a:xfrm flipV="1">
          <a:off x="4216737" y="1104900"/>
          <a:ext cx="0" cy="12874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595819</xdr:colOff>
      <xdr:row>5</xdr:row>
      <xdr:rowOff>0</xdr:rowOff>
    </xdr:from>
    <xdr:to>
      <xdr:col>10</xdr:col>
      <xdr:colOff>12160</xdr:colOff>
      <xdr:row>5</xdr:row>
      <xdr:rowOff>4053</xdr:rowOff>
    </xdr:to>
    <xdr:cxnSp macro="">
      <xdr:nvCxnSpPr>
        <xdr:cNvPr id="34" name="Conector recto 33">
          <a:extLst>
            <a:ext uri="{FF2B5EF4-FFF2-40B4-BE49-F238E27FC236}">
              <a16:creationId xmlns:a16="http://schemas.microsoft.com/office/drawing/2014/main" id="{9910379A-EF9B-44E4-9313-C273F653DA98}"/>
            </a:ext>
          </a:extLst>
        </xdr:cNvPr>
        <xdr:cNvCxnSpPr/>
      </xdr:nvCxnSpPr>
      <xdr:spPr>
        <a:xfrm flipV="1">
          <a:off x="4148644" y="1104900"/>
          <a:ext cx="1092741" cy="4053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299936</xdr:colOff>
      <xdr:row>6</xdr:row>
      <xdr:rowOff>23968</xdr:rowOff>
    </xdr:from>
    <xdr:to>
      <xdr:col>10</xdr:col>
      <xdr:colOff>138628</xdr:colOff>
      <xdr:row>6</xdr:row>
      <xdr:rowOff>24319</xdr:rowOff>
    </xdr:to>
    <xdr:cxnSp macro="">
      <xdr:nvCxnSpPr>
        <xdr:cNvPr id="35" name="Conector recto 34">
          <a:extLst>
            <a:ext uri="{FF2B5EF4-FFF2-40B4-BE49-F238E27FC236}">
              <a16:creationId xmlns:a16="http://schemas.microsoft.com/office/drawing/2014/main" id="{699D7EBC-2979-48E7-9A35-B6A8A55A8B31}"/>
            </a:ext>
          </a:extLst>
        </xdr:cNvPr>
        <xdr:cNvCxnSpPr>
          <a:stCxn id="5" idx="2"/>
        </xdr:cNvCxnSpPr>
      </xdr:nvCxnSpPr>
      <xdr:spPr>
        <a:xfrm flipH="1">
          <a:off x="5014811" y="1290793"/>
          <a:ext cx="353042" cy="351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539074</xdr:colOff>
      <xdr:row>12</xdr:row>
      <xdr:rowOff>154021</xdr:rowOff>
    </xdr:from>
    <xdr:to>
      <xdr:col>10</xdr:col>
      <xdr:colOff>132144</xdr:colOff>
      <xdr:row>12</xdr:row>
      <xdr:rowOff>155290</xdr:rowOff>
    </xdr:to>
    <xdr:cxnSp macro="">
      <xdr:nvCxnSpPr>
        <xdr:cNvPr id="39" name="Conector recto 38">
          <a:extLst>
            <a:ext uri="{FF2B5EF4-FFF2-40B4-BE49-F238E27FC236}">
              <a16:creationId xmlns:a16="http://schemas.microsoft.com/office/drawing/2014/main" id="{652F4CE6-2EEA-4157-A871-6671A312792C}"/>
            </a:ext>
          </a:extLst>
        </xdr:cNvPr>
        <xdr:cNvCxnSpPr/>
      </xdr:nvCxnSpPr>
      <xdr:spPr>
        <a:xfrm flipH="1" flipV="1">
          <a:off x="4091899" y="2392396"/>
          <a:ext cx="1269470" cy="1269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187256</xdr:colOff>
      <xdr:row>5</xdr:row>
      <xdr:rowOff>19049</xdr:rowOff>
    </xdr:from>
    <xdr:ext cx="119135" cy="140872"/>
    <xdr:sp macro="" textlink="">
      <xdr:nvSpPr>
        <xdr:cNvPr id="40" name="CuadroTexto 39">
          <a:extLst>
            <a:ext uri="{FF2B5EF4-FFF2-40B4-BE49-F238E27FC236}">
              <a16:creationId xmlns:a16="http://schemas.microsoft.com/office/drawing/2014/main" id="{16F29D23-5B15-4139-BD05-E013DB69B486}"/>
            </a:ext>
          </a:extLst>
        </xdr:cNvPr>
        <xdr:cNvSpPr txBox="1"/>
      </xdr:nvSpPr>
      <xdr:spPr>
        <a:xfrm>
          <a:off x="4902131" y="1123949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d1</a:t>
          </a:r>
        </a:p>
      </xdr:txBody>
    </xdr:sp>
    <xdr:clientData/>
  </xdr:oneCellAnchor>
  <xdr:oneCellAnchor>
    <xdr:from>
      <xdr:col>7</xdr:col>
      <xdr:colOff>517188</xdr:colOff>
      <xdr:row>8</xdr:row>
      <xdr:rowOff>93630</xdr:rowOff>
    </xdr:from>
    <xdr:ext cx="119135" cy="140872"/>
    <xdr:sp macro="" textlink="">
      <xdr:nvSpPr>
        <xdr:cNvPr id="44" name="CuadroTexto 43">
          <a:extLst>
            <a:ext uri="{FF2B5EF4-FFF2-40B4-BE49-F238E27FC236}">
              <a16:creationId xmlns:a16="http://schemas.microsoft.com/office/drawing/2014/main" id="{92F23BAA-1473-4BE9-87CB-6149D93C0DA0}"/>
            </a:ext>
          </a:extLst>
        </xdr:cNvPr>
        <xdr:cNvSpPr txBox="1"/>
      </xdr:nvSpPr>
      <xdr:spPr>
        <a:xfrm>
          <a:off x="4070013" y="1684305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d2</a:t>
          </a:r>
        </a:p>
      </xdr:txBody>
    </xdr:sp>
    <xdr:clientData/>
  </xdr:oneCellAnchor>
  <xdr:twoCellAnchor>
    <xdr:from>
      <xdr:col>9</xdr:col>
      <xdr:colOff>513521</xdr:colOff>
      <xdr:row>23</xdr:row>
      <xdr:rowOff>0</xdr:rowOff>
    </xdr:from>
    <xdr:to>
      <xdr:col>12</xdr:col>
      <xdr:colOff>0</xdr:colOff>
      <xdr:row>32</xdr:row>
      <xdr:rowOff>0</xdr:rowOff>
    </xdr:to>
    <xdr:sp macro="" textlink="">
      <xdr:nvSpPr>
        <xdr:cNvPr id="45" name="Rectángulo 44">
          <a:extLst>
            <a:ext uri="{FF2B5EF4-FFF2-40B4-BE49-F238E27FC236}">
              <a16:creationId xmlns:a16="http://schemas.microsoft.com/office/drawing/2014/main" id="{7B5BF536-180B-4E07-8B8C-2BC646EE417F}"/>
            </a:ext>
          </a:extLst>
        </xdr:cNvPr>
        <xdr:cNvSpPr/>
      </xdr:nvSpPr>
      <xdr:spPr>
        <a:xfrm>
          <a:off x="5228396" y="4019550"/>
          <a:ext cx="1029529" cy="1457325"/>
        </a:xfrm>
        <a:prstGeom prst="rect">
          <a:avLst/>
        </a:prstGeom>
        <a:noFill/>
        <a:ln w="28575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119268</xdr:colOff>
      <xdr:row>23</xdr:row>
      <xdr:rowOff>115955</xdr:rowOff>
    </xdr:from>
    <xdr:to>
      <xdr:col>11</xdr:col>
      <xdr:colOff>405847</xdr:colOff>
      <xdr:row>31</xdr:row>
      <xdr:rowOff>57977</xdr:rowOff>
    </xdr:to>
    <xdr:sp macro="" textlink="">
      <xdr:nvSpPr>
        <xdr:cNvPr id="46" name="Rectángulo 45">
          <a:extLst>
            <a:ext uri="{FF2B5EF4-FFF2-40B4-BE49-F238E27FC236}">
              <a16:creationId xmlns:a16="http://schemas.microsoft.com/office/drawing/2014/main" id="{E01A3910-0FE6-4E9A-9BEB-6CA8CF0B0707}"/>
            </a:ext>
          </a:extLst>
        </xdr:cNvPr>
        <xdr:cNvSpPr/>
      </xdr:nvSpPr>
      <xdr:spPr>
        <a:xfrm>
          <a:off x="5348493" y="4135505"/>
          <a:ext cx="800929" cy="1237422"/>
        </a:xfrm>
        <a:prstGeom prst="rect">
          <a:avLst/>
        </a:prstGeom>
        <a:noFill/>
        <a:ln w="1905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23</xdr:row>
      <xdr:rowOff>136246</xdr:rowOff>
    </xdr:from>
    <xdr:to>
      <xdr:col>10</xdr:col>
      <xdr:colOff>235744</xdr:colOff>
      <xdr:row>24</xdr:row>
      <xdr:rowOff>73818</xdr:rowOff>
    </xdr:to>
    <xdr:sp macro="" textlink="">
      <xdr:nvSpPr>
        <xdr:cNvPr id="47" name="Diagrama de flujo: conector 46">
          <a:extLst>
            <a:ext uri="{FF2B5EF4-FFF2-40B4-BE49-F238E27FC236}">
              <a16:creationId xmlns:a16="http://schemas.microsoft.com/office/drawing/2014/main" id="{DDA600C8-EC44-425D-8E84-9D8A5644651D}"/>
            </a:ext>
          </a:extLst>
        </xdr:cNvPr>
        <xdr:cNvSpPr/>
      </xdr:nvSpPr>
      <xdr:spPr>
        <a:xfrm>
          <a:off x="5367853" y="415579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350559</xdr:colOff>
      <xdr:row>23</xdr:row>
      <xdr:rowOff>136243</xdr:rowOff>
    </xdr:from>
    <xdr:to>
      <xdr:col>10</xdr:col>
      <xdr:colOff>447675</xdr:colOff>
      <xdr:row>24</xdr:row>
      <xdr:rowOff>73815</xdr:rowOff>
    </xdr:to>
    <xdr:sp macro="" textlink="">
      <xdr:nvSpPr>
        <xdr:cNvPr id="48" name="Diagrama de flujo: conector 47">
          <a:extLst>
            <a:ext uri="{FF2B5EF4-FFF2-40B4-BE49-F238E27FC236}">
              <a16:creationId xmlns:a16="http://schemas.microsoft.com/office/drawing/2014/main" id="{C956D754-1B1A-4431-89B5-27C4B0EC7CCE}"/>
            </a:ext>
          </a:extLst>
        </xdr:cNvPr>
        <xdr:cNvSpPr/>
      </xdr:nvSpPr>
      <xdr:spPr>
        <a:xfrm>
          <a:off x="5579784" y="415579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52901</xdr:colOff>
      <xdr:row>23</xdr:row>
      <xdr:rowOff>136244</xdr:rowOff>
    </xdr:from>
    <xdr:to>
      <xdr:col>11</xdr:col>
      <xdr:colOff>150017</xdr:colOff>
      <xdr:row>24</xdr:row>
      <xdr:rowOff>73816</xdr:rowOff>
    </xdr:to>
    <xdr:sp macro="" textlink="">
      <xdr:nvSpPr>
        <xdr:cNvPr id="49" name="Diagrama de flujo: conector 48">
          <a:extLst>
            <a:ext uri="{FF2B5EF4-FFF2-40B4-BE49-F238E27FC236}">
              <a16:creationId xmlns:a16="http://schemas.microsoft.com/office/drawing/2014/main" id="{47CBA475-9655-4746-AEE4-5A39F8624CC1}"/>
            </a:ext>
          </a:extLst>
        </xdr:cNvPr>
        <xdr:cNvSpPr/>
      </xdr:nvSpPr>
      <xdr:spPr>
        <a:xfrm>
          <a:off x="5796476" y="415579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288646</xdr:colOff>
      <xdr:row>23</xdr:row>
      <xdr:rowOff>136246</xdr:rowOff>
    </xdr:from>
    <xdr:to>
      <xdr:col>11</xdr:col>
      <xdr:colOff>385762</xdr:colOff>
      <xdr:row>24</xdr:row>
      <xdr:rowOff>73818</xdr:rowOff>
    </xdr:to>
    <xdr:sp macro="" textlink="">
      <xdr:nvSpPr>
        <xdr:cNvPr id="50" name="Diagrama de flujo: conector 49">
          <a:extLst>
            <a:ext uri="{FF2B5EF4-FFF2-40B4-BE49-F238E27FC236}">
              <a16:creationId xmlns:a16="http://schemas.microsoft.com/office/drawing/2014/main" id="{CD72E096-3814-4236-B535-F7970BC8BDD9}"/>
            </a:ext>
          </a:extLst>
        </xdr:cNvPr>
        <xdr:cNvSpPr/>
      </xdr:nvSpPr>
      <xdr:spPr>
        <a:xfrm>
          <a:off x="6032221" y="415579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30</xdr:row>
      <xdr:rowOff>100539</xdr:rowOff>
    </xdr:from>
    <xdr:to>
      <xdr:col>10</xdr:col>
      <xdr:colOff>235744</xdr:colOff>
      <xdr:row>31</xdr:row>
      <xdr:rowOff>38111</xdr:rowOff>
    </xdr:to>
    <xdr:sp macro="" textlink="">
      <xdr:nvSpPr>
        <xdr:cNvPr id="51" name="Diagrama de flujo: conector 50">
          <a:extLst>
            <a:ext uri="{FF2B5EF4-FFF2-40B4-BE49-F238E27FC236}">
              <a16:creationId xmlns:a16="http://schemas.microsoft.com/office/drawing/2014/main" id="{ADD98D22-0479-4C10-91BD-6AA5DD6EBBBD}"/>
            </a:ext>
          </a:extLst>
        </xdr:cNvPr>
        <xdr:cNvSpPr/>
      </xdr:nvSpPr>
      <xdr:spPr>
        <a:xfrm>
          <a:off x="5367853" y="525356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30</xdr:row>
      <xdr:rowOff>100540</xdr:rowOff>
    </xdr:from>
    <xdr:to>
      <xdr:col>11</xdr:col>
      <xdr:colOff>385760</xdr:colOff>
      <xdr:row>31</xdr:row>
      <xdr:rowOff>38112</xdr:rowOff>
    </xdr:to>
    <xdr:sp macro="" textlink="">
      <xdr:nvSpPr>
        <xdr:cNvPr id="52" name="Diagrama de flujo: conector 51">
          <a:extLst>
            <a:ext uri="{FF2B5EF4-FFF2-40B4-BE49-F238E27FC236}">
              <a16:creationId xmlns:a16="http://schemas.microsoft.com/office/drawing/2014/main" id="{EC811665-20DF-48A1-B248-FACF835F277F}"/>
            </a:ext>
          </a:extLst>
        </xdr:cNvPr>
        <xdr:cNvSpPr/>
      </xdr:nvSpPr>
      <xdr:spPr>
        <a:xfrm>
          <a:off x="6032219" y="525356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55284</xdr:colOff>
      <xdr:row>30</xdr:row>
      <xdr:rowOff>100540</xdr:rowOff>
    </xdr:from>
    <xdr:to>
      <xdr:col>11</xdr:col>
      <xdr:colOff>152400</xdr:colOff>
      <xdr:row>31</xdr:row>
      <xdr:rowOff>38112</xdr:rowOff>
    </xdr:to>
    <xdr:sp macro="" textlink="">
      <xdr:nvSpPr>
        <xdr:cNvPr id="53" name="Diagrama de flujo: conector 52">
          <a:extLst>
            <a:ext uri="{FF2B5EF4-FFF2-40B4-BE49-F238E27FC236}">
              <a16:creationId xmlns:a16="http://schemas.microsoft.com/office/drawing/2014/main" id="{75E5247A-C8BB-446B-891A-68BB05BAB499}"/>
            </a:ext>
          </a:extLst>
        </xdr:cNvPr>
        <xdr:cNvSpPr/>
      </xdr:nvSpPr>
      <xdr:spPr>
        <a:xfrm>
          <a:off x="5798859" y="525356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360086</xdr:colOff>
      <xdr:row>30</xdr:row>
      <xdr:rowOff>100535</xdr:rowOff>
    </xdr:from>
    <xdr:to>
      <xdr:col>10</xdr:col>
      <xdr:colOff>457202</xdr:colOff>
      <xdr:row>31</xdr:row>
      <xdr:rowOff>38107</xdr:rowOff>
    </xdr:to>
    <xdr:sp macro="" textlink="">
      <xdr:nvSpPr>
        <xdr:cNvPr id="54" name="Diagrama de flujo: conector 53">
          <a:extLst>
            <a:ext uri="{FF2B5EF4-FFF2-40B4-BE49-F238E27FC236}">
              <a16:creationId xmlns:a16="http://schemas.microsoft.com/office/drawing/2014/main" id="{D5080AEA-8649-43F5-AF08-E702D4910ACF}"/>
            </a:ext>
          </a:extLst>
        </xdr:cNvPr>
        <xdr:cNvSpPr/>
      </xdr:nvSpPr>
      <xdr:spPr>
        <a:xfrm>
          <a:off x="5589311" y="525356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61912</xdr:colOff>
      <xdr:row>23</xdr:row>
      <xdr:rowOff>97632</xdr:rowOff>
    </xdr:from>
    <xdr:to>
      <xdr:col>11</xdr:col>
      <xdr:colOff>457199</xdr:colOff>
      <xdr:row>24</xdr:row>
      <xdr:rowOff>114300</xdr:rowOff>
    </xdr:to>
    <xdr:sp macro="" textlink="">
      <xdr:nvSpPr>
        <xdr:cNvPr id="61" name="Elipse 60">
          <a:extLst>
            <a:ext uri="{FF2B5EF4-FFF2-40B4-BE49-F238E27FC236}">
              <a16:creationId xmlns:a16="http://schemas.microsoft.com/office/drawing/2014/main" id="{A1FE27FE-4F02-4824-B801-4E41A240914F}"/>
            </a:ext>
          </a:extLst>
        </xdr:cNvPr>
        <xdr:cNvSpPr/>
      </xdr:nvSpPr>
      <xdr:spPr>
        <a:xfrm>
          <a:off x="5291137" y="4117182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61905</xdr:colOff>
      <xdr:row>30</xdr:row>
      <xdr:rowOff>59528</xdr:rowOff>
    </xdr:from>
    <xdr:to>
      <xdr:col>11</xdr:col>
      <xdr:colOff>457192</xdr:colOff>
      <xdr:row>31</xdr:row>
      <xdr:rowOff>76196</xdr:rowOff>
    </xdr:to>
    <xdr:sp macro="" textlink="">
      <xdr:nvSpPr>
        <xdr:cNvPr id="65" name="Elipse 64">
          <a:extLst>
            <a:ext uri="{FF2B5EF4-FFF2-40B4-BE49-F238E27FC236}">
              <a16:creationId xmlns:a16="http://schemas.microsoft.com/office/drawing/2014/main" id="{B6812884-8F25-41BE-AFAF-8156F26F82CA}"/>
            </a:ext>
          </a:extLst>
        </xdr:cNvPr>
        <xdr:cNvSpPr/>
      </xdr:nvSpPr>
      <xdr:spPr>
        <a:xfrm>
          <a:off x="5291130" y="5212553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457199</xdr:colOff>
      <xdr:row>23</xdr:row>
      <xdr:rowOff>85725</xdr:rowOff>
    </xdr:from>
    <xdr:to>
      <xdr:col>12</xdr:col>
      <xdr:colOff>466725</xdr:colOff>
      <xdr:row>24</xdr:row>
      <xdr:rowOff>25004</xdr:rowOff>
    </xdr:to>
    <xdr:cxnSp macro="">
      <xdr:nvCxnSpPr>
        <xdr:cNvPr id="66" name="Conector: curvado 65">
          <a:extLst>
            <a:ext uri="{FF2B5EF4-FFF2-40B4-BE49-F238E27FC236}">
              <a16:creationId xmlns:a16="http://schemas.microsoft.com/office/drawing/2014/main" id="{85717663-E249-47B0-B1DA-4A7649F07A64}"/>
            </a:ext>
          </a:extLst>
        </xdr:cNvPr>
        <xdr:cNvCxnSpPr>
          <a:endCxn id="61" idx="6"/>
        </xdr:cNvCxnSpPr>
      </xdr:nvCxnSpPr>
      <xdr:spPr>
        <a:xfrm rot="10800000" flipV="1">
          <a:off x="6200774" y="4105275"/>
          <a:ext cx="523876" cy="101204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457192</xdr:colOff>
      <xdr:row>30</xdr:row>
      <xdr:rowOff>148825</xdr:rowOff>
    </xdr:from>
    <xdr:to>
      <xdr:col>12</xdr:col>
      <xdr:colOff>476250</xdr:colOff>
      <xdr:row>31</xdr:row>
      <xdr:rowOff>95250</xdr:rowOff>
    </xdr:to>
    <xdr:cxnSp macro="">
      <xdr:nvCxnSpPr>
        <xdr:cNvPr id="70" name="Conector: curvado 69">
          <a:extLst>
            <a:ext uri="{FF2B5EF4-FFF2-40B4-BE49-F238E27FC236}">
              <a16:creationId xmlns:a16="http://schemas.microsoft.com/office/drawing/2014/main" id="{1B7B46DF-A510-4069-B856-B712058805D6}"/>
            </a:ext>
          </a:extLst>
        </xdr:cNvPr>
        <xdr:cNvCxnSpPr>
          <a:cxnSpLocks/>
          <a:endCxn id="65" idx="6"/>
        </xdr:cNvCxnSpPr>
      </xdr:nvCxnSpPr>
      <xdr:spPr>
        <a:xfrm rot="10800000">
          <a:off x="6200767" y="5301850"/>
          <a:ext cx="533408" cy="108350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85725</xdr:colOff>
      <xdr:row>28</xdr:row>
      <xdr:rowOff>47625</xdr:rowOff>
    </xdr:from>
    <xdr:to>
      <xdr:col>10</xdr:col>
      <xdr:colOff>104775</xdr:colOff>
      <xdr:row>29</xdr:row>
      <xdr:rowOff>85725</xdr:rowOff>
    </xdr:to>
    <xdr:cxnSp macro="">
      <xdr:nvCxnSpPr>
        <xdr:cNvPr id="71" name="Conector: curvado 70">
          <a:extLst>
            <a:ext uri="{FF2B5EF4-FFF2-40B4-BE49-F238E27FC236}">
              <a16:creationId xmlns:a16="http://schemas.microsoft.com/office/drawing/2014/main" id="{6EB1033B-C220-4BC9-AD2E-522B4D3D149B}"/>
            </a:ext>
          </a:extLst>
        </xdr:cNvPr>
        <xdr:cNvCxnSpPr/>
      </xdr:nvCxnSpPr>
      <xdr:spPr>
        <a:xfrm flipV="1">
          <a:off x="4800600" y="4876800"/>
          <a:ext cx="533400" cy="200025"/>
        </a:xfrm>
        <a:prstGeom prst="curvedConnector3">
          <a:avLst/>
        </a:prstGeom>
        <a:ln>
          <a:solidFill>
            <a:srgbClr val="7030A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219075</xdr:colOff>
      <xdr:row>32</xdr:row>
      <xdr:rowOff>4762</xdr:rowOff>
    </xdr:from>
    <xdr:ext cx="2006703" cy="4142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CuadroTexto 71">
              <a:extLst>
                <a:ext uri="{FF2B5EF4-FFF2-40B4-BE49-F238E27FC236}">
                  <a16:creationId xmlns:a16="http://schemas.microsoft.com/office/drawing/2014/main" id="{C4008F65-9212-4169-BE89-DF5EB4CCF0F4}"/>
                </a:ext>
              </a:extLst>
            </xdr:cNvPr>
            <xdr:cNvSpPr txBox="1"/>
          </xdr:nvSpPr>
          <xdr:spPr>
            <a:xfrm>
              <a:off x="419100" y="6862762"/>
              <a:ext cx="2006703" cy="4142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ES" sz="1050" b="0" i="0">
                        <a:latin typeface="Cambria Math" panose="02040503050406030204" pitchFamily="18" charset="0"/>
                      </a:rPr>
                      <m:t>yo</m:t>
                    </m:r>
                    <m:r>
                      <a:rPr lang="es-ES" sz="1050" b="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PE" sz="105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</a:rPr>
                          <m:t>1∙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2∙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2+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b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h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∙</m:t>
                        </m:r>
                        <m:f>
                          <m:fPr>
                            <m:ctrlPr>
                              <a:rPr lang="es-ES" sz="105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m:rPr>
                                <m:sty m:val="p"/>
                              </m:rPr>
                              <a:rPr lang="es-ES" sz="1050" b="0" i="0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h</m:t>
                            </m:r>
                          </m:num>
                          <m:den>
                            <m:r>
                              <a:rPr lang="es-ES" sz="1050" b="0" i="0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num>
                      <m:den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b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</m:den>
                    </m:f>
                  </m:oMath>
                </m:oMathPara>
              </a14:m>
              <a:endParaRPr lang="es-PE" sz="1050" i="0"/>
            </a:p>
          </xdr:txBody>
        </xdr:sp>
      </mc:Choice>
      <mc:Fallback xmlns="">
        <xdr:sp macro="" textlink="">
          <xdr:nvSpPr>
            <xdr:cNvPr id="72" name="CuadroTexto 71">
              <a:extLst>
                <a:ext uri="{FF2B5EF4-FFF2-40B4-BE49-F238E27FC236}">
                  <a16:creationId xmlns:a16="http://schemas.microsoft.com/office/drawing/2014/main" id="{C4008F65-9212-4169-BE89-DF5EB4CCF0F4}"/>
                </a:ext>
              </a:extLst>
            </xdr:cNvPr>
            <xdr:cNvSpPr txBox="1"/>
          </xdr:nvSpPr>
          <xdr:spPr>
            <a:xfrm>
              <a:off x="419100" y="6862762"/>
              <a:ext cx="2006703" cy="4142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s-ES" sz="1050" b="0" i="0">
                  <a:latin typeface="Cambria Math" panose="02040503050406030204" pitchFamily="18" charset="0"/>
                </a:rPr>
                <a:t>yo=</a:t>
              </a:r>
              <a:r>
                <a:rPr lang="es-PE" sz="1050" i="0">
                  <a:latin typeface="Cambria Math" panose="02040503050406030204" pitchFamily="18" charset="0"/>
                </a:rPr>
                <a:t>(</a:t>
              </a:r>
              <a:r>
                <a:rPr lang="es-ES" sz="1050" b="0" i="0">
                  <a:latin typeface="Cambria Math" panose="02040503050406030204" pitchFamily="18" charset="0"/>
                </a:rPr>
                <a:t>As1∙</a:t>
              </a:r>
              <a:r>
                <a:rPr lang="es-ES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d1+As2∙d2+b∙h</a:t>
              </a:r>
              <a:r>
                <a:rPr lang="es-ES" sz="105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∙</a:t>
              </a:r>
              <a:r>
                <a:rPr lang="es-ES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h/2</a:t>
              </a:r>
              <a:r>
                <a:rPr lang="es-PE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)/(</a:t>
              </a:r>
              <a:r>
                <a:rPr lang="es-ES" sz="105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As1+As2+b∙h</a:t>
              </a:r>
              <a:r>
                <a:rPr lang="es-PE" sz="105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</a:t>
              </a:r>
              <a:endParaRPr lang="es-PE" sz="1050" i="0"/>
            </a:p>
          </xdr:txBody>
        </xdr:sp>
      </mc:Fallback>
    </mc:AlternateContent>
    <xdr:clientData/>
  </xdr:oneCellAnchor>
  <xdr:twoCellAnchor editAs="oneCell">
    <xdr:from>
      <xdr:col>3</xdr:col>
      <xdr:colOff>15240</xdr:colOff>
      <xdr:row>116</xdr:row>
      <xdr:rowOff>144780</xdr:rowOff>
    </xdr:from>
    <xdr:to>
      <xdr:col>12</xdr:col>
      <xdr:colOff>423594</xdr:colOff>
      <xdr:row>147</xdr:row>
      <xdr:rowOff>38100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256CBD7-6E61-4D75-B74F-057CADB2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2540" y="20916900"/>
          <a:ext cx="5551854" cy="5341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495299</xdr:colOff>
      <xdr:row>12</xdr:row>
      <xdr:rowOff>38100</xdr:rowOff>
    </xdr:from>
    <xdr:to>
      <xdr:col>19</xdr:col>
      <xdr:colOff>294440</xdr:colOff>
      <xdr:row>21</xdr:row>
      <xdr:rowOff>22860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7F13394-1D7F-4473-8FC2-AFA1A32CA3C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36" r="10019" b="35387"/>
        <a:stretch/>
      </xdr:blipFill>
      <xdr:spPr bwMode="auto">
        <a:xfrm>
          <a:off x="8473439" y="2430780"/>
          <a:ext cx="200132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22860</xdr:colOff>
      <xdr:row>21</xdr:row>
      <xdr:rowOff>137160</xdr:rowOff>
    </xdr:from>
    <xdr:to>
      <xdr:col>24</xdr:col>
      <xdr:colOff>428344</xdr:colOff>
      <xdr:row>29</xdr:row>
      <xdr:rowOff>86469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3EBD11F-8275-4449-8D03-52ADF14148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36" r="10019" b="35387"/>
        <a:stretch/>
      </xdr:blipFill>
      <xdr:spPr bwMode="auto">
        <a:xfrm>
          <a:off x="11772900" y="4107180"/>
          <a:ext cx="1731364" cy="1351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55186</xdr:colOff>
      <xdr:row>81</xdr:row>
      <xdr:rowOff>27693</xdr:rowOff>
    </xdr:from>
    <xdr:to>
      <xdr:col>13</xdr:col>
      <xdr:colOff>209550</xdr:colOff>
      <xdr:row>116</xdr:row>
      <xdr:rowOff>76200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C34873B0-2059-4A4D-B2BA-0F0280DE99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513521</xdr:colOff>
      <xdr:row>5</xdr:row>
      <xdr:rowOff>0</xdr:rowOff>
    </xdr:from>
    <xdr:to>
      <xdr:col>12</xdr:col>
      <xdr:colOff>0</xdr:colOff>
      <xdr:row>14</xdr:row>
      <xdr:rowOff>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D4D10264-AB85-45E6-8B61-82EDF7EBC67A}"/>
            </a:ext>
          </a:extLst>
        </xdr:cNvPr>
        <xdr:cNvSpPr/>
      </xdr:nvSpPr>
      <xdr:spPr>
        <a:xfrm>
          <a:off x="5228396" y="1104900"/>
          <a:ext cx="1029529" cy="1457325"/>
        </a:xfrm>
        <a:prstGeom prst="rect">
          <a:avLst/>
        </a:prstGeom>
        <a:noFill/>
        <a:ln w="28575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119268</xdr:colOff>
      <xdr:row>5</xdr:row>
      <xdr:rowOff>115955</xdr:rowOff>
    </xdr:from>
    <xdr:to>
      <xdr:col>11</xdr:col>
      <xdr:colOff>405847</xdr:colOff>
      <xdr:row>13</xdr:row>
      <xdr:rowOff>57977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ABFC5D9A-BFBC-410A-9BAB-55BC12E8D663}"/>
            </a:ext>
          </a:extLst>
        </xdr:cNvPr>
        <xdr:cNvSpPr/>
      </xdr:nvSpPr>
      <xdr:spPr>
        <a:xfrm>
          <a:off x="5348493" y="1220855"/>
          <a:ext cx="800929" cy="1237422"/>
        </a:xfrm>
        <a:prstGeom prst="rect">
          <a:avLst/>
        </a:prstGeom>
        <a:noFill/>
        <a:ln w="1905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5</xdr:row>
      <xdr:rowOff>136246</xdr:rowOff>
    </xdr:from>
    <xdr:to>
      <xdr:col>10</xdr:col>
      <xdr:colOff>235744</xdr:colOff>
      <xdr:row>6</xdr:row>
      <xdr:rowOff>73818</xdr:rowOff>
    </xdr:to>
    <xdr:sp macro="" textlink="">
      <xdr:nvSpPr>
        <xdr:cNvPr id="5" name="Diagrama de flujo: conector 4">
          <a:extLst>
            <a:ext uri="{FF2B5EF4-FFF2-40B4-BE49-F238E27FC236}">
              <a16:creationId xmlns:a16="http://schemas.microsoft.com/office/drawing/2014/main" id="{59290DFF-BA3C-46A1-B171-BF78D4BB6160}"/>
            </a:ext>
          </a:extLst>
        </xdr:cNvPr>
        <xdr:cNvSpPr/>
      </xdr:nvSpPr>
      <xdr:spPr>
        <a:xfrm>
          <a:off x="5367853" y="124114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350559</xdr:colOff>
      <xdr:row>5</xdr:row>
      <xdr:rowOff>136243</xdr:rowOff>
    </xdr:from>
    <xdr:to>
      <xdr:col>10</xdr:col>
      <xdr:colOff>447675</xdr:colOff>
      <xdr:row>6</xdr:row>
      <xdr:rowOff>73815</xdr:rowOff>
    </xdr:to>
    <xdr:sp macro="" textlink="">
      <xdr:nvSpPr>
        <xdr:cNvPr id="6" name="Diagrama de flujo: conector 5">
          <a:extLst>
            <a:ext uri="{FF2B5EF4-FFF2-40B4-BE49-F238E27FC236}">
              <a16:creationId xmlns:a16="http://schemas.microsoft.com/office/drawing/2014/main" id="{F74C0A25-EF7B-420E-A055-E6A6857DE758}"/>
            </a:ext>
          </a:extLst>
        </xdr:cNvPr>
        <xdr:cNvSpPr/>
      </xdr:nvSpPr>
      <xdr:spPr>
        <a:xfrm>
          <a:off x="5579784" y="124114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52901</xdr:colOff>
      <xdr:row>5</xdr:row>
      <xdr:rowOff>136244</xdr:rowOff>
    </xdr:from>
    <xdr:to>
      <xdr:col>11</xdr:col>
      <xdr:colOff>150017</xdr:colOff>
      <xdr:row>6</xdr:row>
      <xdr:rowOff>73816</xdr:rowOff>
    </xdr:to>
    <xdr:sp macro="" textlink="">
      <xdr:nvSpPr>
        <xdr:cNvPr id="7" name="Diagrama de flujo: conector 6">
          <a:extLst>
            <a:ext uri="{FF2B5EF4-FFF2-40B4-BE49-F238E27FC236}">
              <a16:creationId xmlns:a16="http://schemas.microsoft.com/office/drawing/2014/main" id="{E529A436-CC82-45B7-8F3B-6CA307B10EBA}"/>
            </a:ext>
          </a:extLst>
        </xdr:cNvPr>
        <xdr:cNvSpPr/>
      </xdr:nvSpPr>
      <xdr:spPr>
        <a:xfrm>
          <a:off x="5796476" y="124114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288646</xdr:colOff>
      <xdr:row>5</xdr:row>
      <xdr:rowOff>136246</xdr:rowOff>
    </xdr:from>
    <xdr:to>
      <xdr:col>11</xdr:col>
      <xdr:colOff>385762</xdr:colOff>
      <xdr:row>6</xdr:row>
      <xdr:rowOff>73818</xdr:rowOff>
    </xdr:to>
    <xdr:sp macro="" textlink="">
      <xdr:nvSpPr>
        <xdr:cNvPr id="8" name="Diagrama de flujo: conector 7">
          <a:extLst>
            <a:ext uri="{FF2B5EF4-FFF2-40B4-BE49-F238E27FC236}">
              <a16:creationId xmlns:a16="http://schemas.microsoft.com/office/drawing/2014/main" id="{62CCEDAC-C333-42BF-9C5C-59906851944E}"/>
            </a:ext>
          </a:extLst>
        </xdr:cNvPr>
        <xdr:cNvSpPr/>
      </xdr:nvSpPr>
      <xdr:spPr>
        <a:xfrm>
          <a:off x="6032221" y="124114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12</xdr:row>
      <xdr:rowOff>100539</xdr:rowOff>
    </xdr:from>
    <xdr:to>
      <xdr:col>10</xdr:col>
      <xdr:colOff>235744</xdr:colOff>
      <xdr:row>13</xdr:row>
      <xdr:rowOff>38111</xdr:rowOff>
    </xdr:to>
    <xdr:sp macro="" textlink="">
      <xdr:nvSpPr>
        <xdr:cNvPr id="9" name="Diagrama de flujo: conector 8">
          <a:extLst>
            <a:ext uri="{FF2B5EF4-FFF2-40B4-BE49-F238E27FC236}">
              <a16:creationId xmlns:a16="http://schemas.microsoft.com/office/drawing/2014/main" id="{7F37AEA0-7E3E-4660-BE7F-E780D7C66119}"/>
            </a:ext>
          </a:extLst>
        </xdr:cNvPr>
        <xdr:cNvSpPr/>
      </xdr:nvSpPr>
      <xdr:spPr>
        <a:xfrm>
          <a:off x="5367853" y="233891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12</xdr:row>
      <xdr:rowOff>100540</xdr:rowOff>
    </xdr:from>
    <xdr:to>
      <xdr:col>11</xdr:col>
      <xdr:colOff>385760</xdr:colOff>
      <xdr:row>13</xdr:row>
      <xdr:rowOff>38112</xdr:rowOff>
    </xdr:to>
    <xdr:sp macro="" textlink="">
      <xdr:nvSpPr>
        <xdr:cNvPr id="10" name="Diagrama de flujo: conector 9">
          <a:extLst>
            <a:ext uri="{FF2B5EF4-FFF2-40B4-BE49-F238E27FC236}">
              <a16:creationId xmlns:a16="http://schemas.microsoft.com/office/drawing/2014/main" id="{23429A18-0823-45D5-9005-A3AAADC5933C}"/>
            </a:ext>
          </a:extLst>
        </xdr:cNvPr>
        <xdr:cNvSpPr/>
      </xdr:nvSpPr>
      <xdr:spPr>
        <a:xfrm>
          <a:off x="6032219" y="233891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55284</xdr:colOff>
      <xdr:row>12</xdr:row>
      <xdr:rowOff>100540</xdr:rowOff>
    </xdr:from>
    <xdr:to>
      <xdr:col>11</xdr:col>
      <xdr:colOff>152400</xdr:colOff>
      <xdr:row>13</xdr:row>
      <xdr:rowOff>38112</xdr:rowOff>
    </xdr:to>
    <xdr:sp macro="" textlink="">
      <xdr:nvSpPr>
        <xdr:cNvPr id="11" name="Diagrama de flujo: conector 10">
          <a:extLst>
            <a:ext uri="{FF2B5EF4-FFF2-40B4-BE49-F238E27FC236}">
              <a16:creationId xmlns:a16="http://schemas.microsoft.com/office/drawing/2014/main" id="{0E9511FE-A765-43B3-836F-4EBCF4F739D2}"/>
            </a:ext>
          </a:extLst>
        </xdr:cNvPr>
        <xdr:cNvSpPr/>
      </xdr:nvSpPr>
      <xdr:spPr>
        <a:xfrm>
          <a:off x="5798859" y="233891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360086</xdr:colOff>
      <xdr:row>12</xdr:row>
      <xdr:rowOff>100535</xdr:rowOff>
    </xdr:from>
    <xdr:to>
      <xdr:col>10</xdr:col>
      <xdr:colOff>457202</xdr:colOff>
      <xdr:row>13</xdr:row>
      <xdr:rowOff>38107</xdr:rowOff>
    </xdr:to>
    <xdr:sp macro="" textlink="">
      <xdr:nvSpPr>
        <xdr:cNvPr id="12" name="Diagrama de flujo: conector 11">
          <a:extLst>
            <a:ext uri="{FF2B5EF4-FFF2-40B4-BE49-F238E27FC236}">
              <a16:creationId xmlns:a16="http://schemas.microsoft.com/office/drawing/2014/main" id="{9654F6D1-11E1-4FE9-BF2F-9BA98F3C49F3}"/>
            </a:ext>
          </a:extLst>
        </xdr:cNvPr>
        <xdr:cNvSpPr/>
      </xdr:nvSpPr>
      <xdr:spPr>
        <a:xfrm>
          <a:off x="5589311" y="233891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138630</xdr:colOff>
      <xdr:row>9</xdr:row>
      <xdr:rowOff>29093</xdr:rowOff>
    </xdr:from>
    <xdr:to>
      <xdr:col>10</xdr:col>
      <xdr:colOff>235746</xdr:colOff>
      <xdr:row>9</xdr:row>
      <xdr:rowOff>128590</xdr:rowOff>
    </xdr:to>
    <xdr:sp macro="" textlink="">
      <xdr:nvSpPr>
        <xdr:cNvPr id="15" name="Diagrama de flujo: conector 14">
          <a:extLst>
            <a:ext uri="{FF2B5EF4-FFF2-40B4-BE49-F238E27FC236}">
              <a16:creationId xmlns:a16="http://schemas.microsoft.com/office/drawing/2014/main" id="{CEA4937D-B02C-4EC9-B572-D8FB58E49637}"/>
            </a:ext>
          </a:extLst>
        </xdr:cNvPr>
        <xdr:cNvSpPr/>
      </xdr:nvSpPr>
      <xdr:spPr>
        <a:xfrm>
          <a:off x="5367855" y="178169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288649</xdr:colOff>
      <xdr:row>9</xdr:row>
      <xdr:rowOff>29093</xdr:rowOff>
    </xdr:from>
    <xdr:to>
      <xdr:col>11</xdr:col>
      <xdr:colOff>385765</xdr:colOff>
      <xdr:row>9</xdr:row>
      <xdr:rowOff>128590</xdr:rowOff>
    </xdr:to>
    <xdr:sp macro="" textlink="">
      <xdr:nvSpPr>
        <xdr:cNvPr id="18" name="Diagrama de flujo: conector 17">
          <a:extLst>
            <a:ext uri="{FF2B5EF4-FFF2-40B4-BE49-F238E27FC236}">
              <a16:creationId xmlns:a16="http://schemas.microsoft.com/office/drawing/2014/main" id="{2D67ECC5-F47C-4AF6-AF06-C10C6F389639}"/>
            </a:ext>
          </a:extLst>
        </xdr:cNvPr>
        <xdr:cNvSpPr/>
      </xdr:nvSpPr>
      <xdr:spPr>
        <a:xfrm>
          <a:off x="6032224" y="178169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61912</xdr:colOff>
      <xdr:row>5</xdr:row>
      <xdr:rowOff>97632</xdr:rowOff>
    </xdr:from>
    <xdr:to>
      <xdr:col>11</xdr:col>
      <xdr:colOff>457199</xdr:colOff>
      <xdr:row>6</xdr:row>
      <xdr:rowOff>114300</xdr:rowOff>
    </xdr:to>
    <xdr:sp macro="" textlink="">
      <xdr:nvSpPr>
        <xdr:cNvPr id="19" name="Elipse 18">
          <a:extLst>
            <a:ext uri="{FF2B5EF4-FFF2-40B4-BE49-F238E27FC236}">
              <a16:creationId xmlns:a16="http://schemas.microsoft.com/office/drawing/2014/main" id="{13545DFE-AFD9-4D46-A0F2-3624DB6D164A}"/>
            </a:ext>
          </a:extLst>
        </xdr:cNvPr>
        <xdr:cNvSpPr/>
      </xdr:nvSpPr>
      <xdr:spPr>
        <a:xfrm>
          <a:off x="5291137" y="1202532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61908</xdr:colOff>
      <xdr:row>8</xdr:row>
      <xdr:rowOff>150019</xdr:rowOff>
    </xdr:from>
    <xdr:to>
      <xdr:col>11</xdr:col>
      <xdr:colOff>457195</xdr:colOff>
      <xdr:row>10</xdr:row>
      <xdr:rowOff>4762</xdr:rowOff>
    </xdr:to>
    <xdr:sp macro="" textlink="">
      <xdr:nvSpPr>
        <xdr:cNvPr id="21" name="Elipse 20">
          <a:extLst>
            <a:ext uri="{FF2B5EF4-FFF2-40B4-BE49-F238E27FC236}">
              <a16:creationId xmlns:a16="http://schemas.microsoft.com/office/drawing/2014/main" id="{0BD1B7B7-4415-41E9-ACDF-264468FD3366}"/>
            </a:ext>
          </a:extLst>
        </xdr:cNvPr>
        <xdr:cNvSpPr/>
      </xdr:nvSpPr>
      <xdr:spPr>
        <a:xfrm>
          <a:off x="5291133" y="1740694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61905</xdr:colOff>
      <xdr:row>12</xdr:row>
      <xdr:rowOff>59528</xdr:rowOff>
    </xdr:from>
    <xdr:to>
      <xdr:col>11</xdr:col>
      <xdr:colOff>457192</xdr:colOff>
      <xdr:row>13</xdr:row>
      <xdr:rowOff>76196</xdr:rowOff>
    </xdr:to>
    <xdr:sp macro="" textlink="">
      <xdr:nvSpPr>
        <xdr:cNvPr id="23" name="Elipse 22">
          <a:extLst>
            <a:ext uri="{FF2B5EF4-FFF2-40B4-BE49-F238E27FC236}">
              <a16:creationId xmlns:a16="http://schemas.microsoft.com/office/drawing/2014/main" id="{B0566716-505E-4217-B264-B69C9E94B9C1}"/>
            </a:ext>
          </a:extLst>
        </xdr:cNvPr>
        <xdr:cNvSpPr/>
      </xdr:nvSpPr>
      <xdr:spPr>
        <a:xfrm>
          <a:off x="5291130" y="2297903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457200</xdr:colOff>
      <xdr:row>6</xdr:row>
      <xdr:rowOff>25005</xdr:rowOff>
    </xdr:from>
    <xdr:to>
      <xdr:col>13</xdr:col>
      <xdr:colOff>1</xdr:colOff>
      <xdr:row>7</xdr:row>
      <xdr:rowOff>76201</xdr:rowOff>
    </xdr:to>
    <xdr:cxnSp macro="">
      <xdr:nvCxnSpPr>
        <xdr:cNvPr id="24" name="Conector: curvado 23">
          <a:extLst>
            <a:ext uri="{FF2B5EF4-FFF2-40B4-BE49-F238E27FC236}">
              <a16:creationId xmlns:a16="http://schemas.microsoft.com/office/drawing/2014/main" id="{F1C17F3E-D2EF-4AAD-8928-E46C348A73AF}"/>
            </a:ext>
          </a:extLst>
        </xdr:cNvPr>
        <xdr:cNvCxnSpPr>
          <a:endCxn id="19" idx="6"/>
        </xdr:cNvCxnSpPr>
      </xdr:nvCxnSpPr>
      <xdr:spPr>
        <a:xfrm rot="10800000">
          <a:off x="6200775" y="1291830"/>
          <a:ext cx="571501" cy="213121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457195</xdr:colOff>
      <xdr:row>9</xdr:row>
      <xdr:rowOff>76199</xdr:rowOff>
    </xdr:from>
    <xdr:to>
      <xdr:col>12</xdr:col>
      <xdr:colOff>504825</xdr:colOff>
      <xdr:row>9</xdr:row>
      <xdr:rowOff>77390</xdr:rowOff>
    </xdr:to>
    <xdr:cxnSp macro="">
      <xdr:nvCxnSpPr>
        <xdr:cNvPr id="26" name="Conector: curvado 25">
          <a:extLst>
            <a:ext uri="{FF2B5EF4-FFF2-40B4-BE49-F238E27FC236}">
              <a16:creationId xmlns:a16="http://schemas.microsoft.com/office/drawing/2014/main" id="{93279CFE-33B0-4E39-A3CC-DCF288365277}"/>
            </a:ext>
          </a:extLst>
        </xdr:cNvPr>
        <xdr:cNvCxnSpPr>
          <a:cxnSpLocks/>
          <a:endCxn id="21" idx="6"/>
        </xdr:cNvCxnSpPr>
      </xdr:nvCxnSpPr>
      <xdr:spPr>
        <a:xfrm rot="10800000" flipV="1">
          <a:off x="6200770" y="1828799"/>
          <a:ext cx="561980" cy="1191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457193</xdr:colOff>
      <xdr:row>11</xdr:row>
      <xdr:rowOff>76200</xdr:rowOff>
    </xdr:from>
    <xdr:to>
      <xdr:col>12</xdr:col>
      <xdr:colOff>504826</xdr:colOff>
      <xdr:row>12</xdr:row>
      <xdr:rowOff>148825</xdr:rowOff>
    </xdr:to>
    <xdr:cxnSp macro="">
      <xdr:nvCxnSpPr>
        <xdr:cNvPr id="28" name="Conector: curvado 27">
          <a:extLst>
            <a:ext uri="{FF2B5EF4-FFF2-40B4-BE49-F238E27FC236}">
              <a16:creationId xmlns:a16="http://schemas.microsoft.com/office/drawing/2014/main" id="{8B6820C6-E2F2-4FB3-AD78-49F264547F5D}"/>
            </a:ext>
          </a:extLst>
        </xdr:cNvPr>
        <xdr:cNvCxnSpPr>
          <a:endCxn id="23" idx="6"/>
        </xdr:cNvCxnSpPr>
      </xdr:nvCxnSpPr>
      <xdr:spPr>
        <a:xfrm rot="10800000" flipV="1">
          <a:off x="6200768" y="2152650"/>
          <a:ext cx="561983" cy="234550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344521</xdr:colOff>
      <xdr:row>4</xdr:row>
      <xdr:rowOff>158074</xdr:rowOff>
    </xdr:from>
    <xdr:to>
      <xdr:col>9</xdr:col>
      <xdr:colOff>348575</xdr:colOff>
      <xdr:row>6</xdr:row>
      <xdr:rowOff>28372</xdr:rowOff>
    </xdr:to>
    <xdr:cxnSp macro="">
      <xdr:nvCxnSpPr>
        <xdr:cNvPr id="29" name="Conector recto de flecha 28">
          <a:extLst>
            <a:ext uri="{FF2B5EF4-FFF2-40B4-BE49-F238E27FC236}">
              <a16:creationId xmlns:a16="http://schemas.microsoft.com/office/drawing/2014/main" id="{CC1237F2-8C9C-4BA4-88FA-CB3C28948968}"/>
            </a:ext>
          </a:extLst>
        </xdr:cNvPr>
        <xdr:cNvCxnSpPr/>
      </xdr:nvCxnSpPr>
      <xdr:spPr>
        <a:xfrm flipV="1">
          <a:off x="5059396" y="1101049"/>
          <a:ext cx="4054" cy="19414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448668</xdr:colOff>
      <xdr:row>5</xdr:row>
      <xdr:rowOff>0</xdr:rowOff>
    </xdr:from>
    <xdr:to>
      <xdr:col>8</xdr:col>
      <xdr:colOff>449902</xdr:colOff>
      <xdr:row>9</xdr:row>
      <xdr:rowOff>85117</xdr:rowOff>
    </xdr:to>
    <xdr:cxnSp macro="">
      <xdr:nvCxnSpPr>
        <xdr:cNvPr id="31" name="Conector recto de flecha 30">
          <a:extLst>
            <a:ext uri="{FF2B5EF4-FFF2-40B4-BE49-F238E27FC236}">
              <a16:creationId xmlns:a16="http://schemas.microsoft.com/office/drawing/2014/main" id="{35EC495C-1145-4738-BED9-401AC6F3723F}"/>
            </a:ext>
          </a:extLst>
        </xdr:cNvPr>
        <xdr:cNvCxnSpPr/>
      </xdr:nvCxnSpPr>
      <xdr:spPr>
        <a:xfrm flipV="1">
          <a:off x="4649193" y="1104900"/>
          <a:ext cx="1234" cy="73281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16212</xdr:colOff>
      <xdr:row>5</xdr:row>
      <xdr:rowOff>0</xdr:rowOff>
    </xdr:from>
    <xdr:to>
      <xdr:col>8</xdr:col>
      <xdr:colOff>16212</xdr:colOff>
      <xdr:row>12</xdr:row>
      <xdr:rowOff>154021</xdr:rowOff>
    </xdr:to>
    <xdr:cxnSp macro="">
      <xdr:nvCxnSpPr>
        <xdr:cNvPr id="33" name="Conector recto de flecha 32">
          <a:extLst>
            <a:ext uri="{FF2B5EF4-FFF2-40B4-BE49-F238E27FC236}">
              <a16:creationId xmlns:a16="http://schemas.microsoft.com/office/drawing/2014/main" id="{F945D972-6705-4F45-B077-8D15739D0B8D}"/>
            </a:ext>
          </a:extLst>
        </xdr:cNvPr>
        <xdr:cNvCxnSpPr/>
      </xdr:nvCxnSpPr>
      <xdr:spPr>
        <a:xfrm flipV="1">
          <a:off x="4216737" y="1104900"/>
          <a:ext cx="0" cy="12874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595819</xdr:colOff>
      <xdr:row>5</xdr:row>
      <xdr:rowOff>0</xdr:rowOff>
    </xdr:from>
    <xdr:to>
      <xdr:col>10</xdr:col>
      <xdr:colOff>12160</xdr:colOff>
      <xdr:row>5</xdr:row>
      <xdr:rowOff>4053</xdr:rowOff>
    </xdr:to>
    <xdr:cxnSp macro="">
      <xdr:nvCxnSpPr>
        <xdr:cNvPr id="34" name="Conector recto 33">
          <a:extLst>
            <a:ext uri="{FF2B5EF4-FFF2-40B4-BE49-F238E27FC236}">
              <a16:creationId xmlns:a16="http://schemas.microsoft.com/office/drawing/2014/main" id="{30F7AB53-D51A-4F6A-B7FC-EA74F5153ABC}"/>
            </a:ext>
          </a:extLst>
        </xdr:cNvPr>
        <xdr:cNvCxnSpPr/>
      </xdr:nvCxnSpPr>
      <xdr:spPr>
        <a:xfrm flipV="1">
          <a:off x="4148644" y="1104900"/>
          <a:ext cx="1092741" cy="4053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299936</xdr:colOff>
      <xdr:row>6</xdr:row>
      <xdr:rowOff>23968</xdr:rowOff>
    </xdr:from>
    <xdr:to>
      <xdr:col>10</xdr:col>
      <xdr:colOff>138628</xdr:colOff>
      <xdr:row>6</xdr:row>
      <xdr:rowOff>24319</xdr:rowOff>
    </xdr:to>
    <xdr:cxnSp macro="">
      <xdr:nvCxnSpPr>
        <xdr:cNvPr id="35" name="Conector recto 34">
          <a:extLst>
            <a:ext uri="{FF2B5EF4-FFF2-40B4-BE49-F238E27FC236}">
              <a16:creationId xmlns:a16="http://schemas.microsoft.com/office/drawing/2014/main" id="{136F0EEB-8AF4-448C-BB6D-107B6BA0F551}"/>
            </a:ext>
          </a:extLst>
        </xdr:cNvPr>
        <xdr:cNvCxnSpPr>
          <a:stCxn id="5" idx="2"/>
        </xdr:cNvCxnSpPr>
      </xdr:nvCxnSpPr>
      <xdr:spPr>
        <a:xfrm flipH="1">
          <a:off x="5014811" y="1290793"/>
          <a:ext cx="353042" cy="351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401266</xdr:colOff>
      <xdr:row>9</xdr:row>
      <xdr:rowOff>81063</xdr:rowOff>
    </xdr:from>
    <xdr:to>
      <xdr:col>10</xdr:col>
      <xdr:colOff>131333</xdr:colOff>
      <xdr:row>9</xdr:row>
      <xdr:rowOff>81523</xdr:rowOff>
    </xdr:to>
    <xdr:cxnSp macro="">
      <xdr:nvCxnSpPr>
        <xdr:cNvPr id="37" name="Conector recto 36">
          <a:extLst>
            <a:ext uri="{FF2B5EF4-FFF2-40B4-BE49-F238E27FC236}">
              <a16:creationId xmlns:a16="http://schemas.microsoft.com/office/drawing/2014/main" id="{D90528A9-908F-4C8F-8646-BE253B3ECE56}"/>
            </a:ext>
          </a:extLst>
        </xdr:cNvPr>
        <xdr:cNvCxnSpPr/>
      </xdr:nvCxnSpPr>
      <xdr:spPr>
        <a:xfrm flipH="1" flipV="1">
          <a:off x="4601791" y="1833663"/>
          <a:ext cx="758767" cy="460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539074</xdr:colOff>
      <xdr:row>12</xdr:row>
      <xdr:rowOff>154021</xdr:rowOff>
    </xdr:from>
    <xdr:to>
      <xdr:col>10</xdr:col>
      <xdr:colOff>132144</xdr:colOff>
      <xdr:row>12</xdr:row>
      <xdr:rowOff>155290</xdr:rowOff>
    </xdr:to>
    <xdr:cxnSp macro="">
      <xdr:nvCxnSpPr>
        <xdr:cNvPr id="39" name="Conector recto 38">
          <a:extLst>
            <a:ext uri="{FF2B5EF4-FFF2-40B4-BE49-F238E27FC236}">
              <a16:creationId xmlns:a16="http://schemas.microsoft.com/office/drawing/2014/main" id="{E892F465-8BF1-4BD7-AA22-CF3307CF5D4B}"/>
            </a:ext>
          </a:extLst>
        </xdr:cNvPr>
        <xdr:cNvCxnSpPr/>
      </xdr:nvCxnSpPr>
      <xdr:spPr>
        <a:xfrm flipH="1" flipV="1">
          <a:off x="4091899" y="2392396"/>
          <a:ext cx="1269470" cy="1269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187256</xdr:colOff>
      <xdr:row>5</xdr:row>
      <xdr:rowOff>19049</xdr:rowOff>
    </xdr:from>
    <xdr:ext cx="119135" cy="140872"/>
    <xdr:sp macro="" textlink="">
      <xdr:nvSpPr>
        <xdr:cNvPr id="40" name="CuadroTexto 39">
          <a:extLst>
            <a:ext uri="{FF2B5EF4-FFF2-40B4-BE49-F238E27FC236}">
              <a16:creationId xmlns:a16="http://schemas.microsoft.com/office/drawing/2014/main" id="{8164228B-D614-4C2C-830D-3220FA9CCA99}"/>
            </a:ext>
          </a:extLst>
        </xdr:cNvPr>
        <xdr:cNvSpPr txBox="1"/>
      </xdr:nvSpPr>
      <xdr:spPr>
        <a:xfrm>
          <a:off x="4902131" y="1123949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d1</a:t>
          </a:r>
        </a:p>
      </xdr:txBody>
    </xdr:sp>
    <xdr:clientData/>
  </xdr:oneCellAnchor>
  <xdr:oneCellAnchor>
    <xdr:from>
      <xdr:col>8</xdr:col>
      <xdr:colOff>301558</xdr:colOff>
      <xdr:row>6</xdr:row>
      <xdr:rowOff>137403</xdr:rowOff>
    </xdr:from>
    <xdr:ext cx="119135" cy="140872"/>
    <xdr:sp macro="" textlink="">
      <xdr:nvSpPr>
        <xdr:cNvPr id="42" name="CuadroTexto 41">
          <a:extLst>
            <a:ext uri="{FF2B5EF4-FFF2-40B4-BE49-F238E27FC236}">
              <a16:creationId xmlns:a16="http://schemas.microsoft.com/office/drawing/2014/main" id="{DBE9FA42-C4A2-4AFB-9DBF-703BBC02FAC1}"/>
            </a:ext>
          </a:extLst>
        </xdr:cNvPr>
        <xdr:cNvSpPr txBox="1"/>
      </xdr:nvSpPr>
      <xdr:spPr>
        <a:xfrm>
          <a:off x="4502083" y="1404228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d2</a:t>
          </a:r>
        </a:p>
      </xdr:txBody>
    </xdr:sp>
    <xdr:clientData/>
  </xdr:oneCellAnchor>
  <xdr:oneCellAnchor>
    <xdr:from>
      <xdr:col>7</xdr:col>
      <xdr:colOff>517188</xdr:colOff>
      <xdr:row>8</xdr:row>
      <xdr:rowOff>93630</xdr:rowOff>
    </xdr:from>
    <xdr:ext cx="119135" cy="140872"/>
    <xdr:sp macro="" textlink="">
      <xdr:nvSpPr>
        <xdr:cNvPr id="44" name="CuadroTexto 43">
          <a:extLst>
            <a:ext uri="{FF2B5EF4-FFF2-40B4-BE49-F238E27FC236}">
              <a16:creationId xmlns:a16="http://schemas.microsoft.com/office/drawing/2014/main" id="{732BDA32-DBB4-4114-800F-5BA6AB7D3A19}"/>
            </a:ext>
          </a:extLst>
        </xdr:cNvPr>
        <xdr:cNvSpPr txBox="1"/>
      </xdr:nvSpPr>
      <xdr:spPr>
        <a:xfrm>
          <a:off x="4070013" y="1684305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d3</a:t>
          </a:r>
        </a:p>
      </xdr:txBody>
    </xdr:sp>
    <xdr:clientData/>
  </xdr:oneCellAnchor>
  <xdr:twoCellAnchor>
    <xdr:from>
      <xdr:col>9</xdr:col>
      <xdr:colOff>513521</xdr:colOff>
      <xdr:row>23</xdr:row>
      <xdr:rowOff>0</xdr:rowOff>
    </xdr:from>
    <xdr:to>
      <xdr:col>12</xdr:col>
      <xdr:colOff>0</xdr:colOff>
      <xdr:row>32</xdr:row>
      <xdr:rowOff>0</xdr:rowOff>
    </xdr:to>
    <xdr:sp macro="" textlink="">
      <xdr:nvSpPr>
        <xdr:cNvPr id="45" name="Rectángulo 44">
          <a:extLst>
            <a:ext uri="{FF2B5EF4-FFF2-40B4-BE49-F238E27FC236}">
              <a16:creationId xmlns:a16="http://schemas.microsoft.com/office/drawing/2014/main" id="{5E3869AC-94F8-4BC6-A18B-16B9FB21EB7D}"/>
            </a:ext>
          </a:extLst>
        </xdr:cNvPr>
        <xdr:cNvSpPr/>
      </xdr:nvSpPr>
      <xdr:spPr>
        <a:xfrm>
          <a:off x="5228396" y="4019550"/>
          <a:ext cx="1029529" cy="1457325"/>
        </a:xfrm>
        <a:prstGeom prst="rect">
          <a:avLst/>
        </a:prstGeom>
        <a:noFill/>
        <a:ln w="28575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119268</xdr:colOff>
      <xdr:row>23</xdr:row>
      <xdr:rowOff>115955</xdr:rowOff>
    </xdr:from>
    <xdr:to>
      <xdr:col>11</xdr:col>
      <xdr:colOff>405847</xdr:colOff>
      <xdr:row>31</xdr:row>
      <xdr:rowOff>57977</xdr:rowOff>
    </xdr:to>
    <xdr:sp macro="" textlink="">
      <xdr:nvSpPr>
        <xdr:cNvPr id="46" name="Rectángulo 45">
          <a:extLst>
            <a:ext uri="{FF2B5EF4-FFF2-40B4-BE49-F238E27FC236}">
              <a16:creationId xmlns:a16="http://schemas.microsoft.com/office/drawing/2014/main" id="{62D7ACC9-84F3-4725-9D2F-F9980A3DA931}"/>
            </a:ext>
          </a:extLst>
        </xdr:cNvPr>
        <xdr:cNvSpPr/>
      </xdr:nvSpPr>
      <xdr:spPr>
        <a:xfrm>
          <a:off x="5348493" y="4135505"/>
          <a:ext cx="800929" cy="1237422"/>
        </a:xfrm>
        <a:prstGeom prst="rect">
          <a:avLst/>
        </a:prstGeom>
        <a:noFill/>
        <a:ln w="1905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23</xdr:row>
      <xdr:rowOff>136246</xdr:rowOff>
    </xdr:from>
    <xdr:to>
      <xdr:col>10</xdr:col>
      <xdr:colOff>235744</xdr:colOff>
      <xdr:row>24</xdr:row>
      <xdr:rowOff>73818</xdr:rowOff>
    </xdr:to>
    <xdr:sp macro="" textlink="">
      <xdr:nvSpPr>
        <xdr:cNvPr id="47" name="Diagrama de flujo: conector 46">
          <a:extLst>
            <a:ext uri="{FF2B5EF4-FFF2-40B4-BE49-F238E27FC236}">
              <a16:creationId xmlns:a16="http://schemas.microsoft.com/office/drawing/2014/main" id="{42DEAFEB-EE12-4A36-94D7-4CCEDCA0BAB2}"/>
            </a:ext>
          </a:extLst>
        </xdr:cNvPr>
        <xdr:cNvSpPr/>
      </xdr:nvSpPr>
      <xdr:spPr>
        <a:xfrm>
          <a:off x="5367853" y="415579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350559</xdr:colOff>
      <xdr:row>23</xdr:row>
      <xdr:rowOff>136243</xdr:rowOff>
    </xdr:from>
    <xdr:to>
      <xdr:col>10</xdr:col>
      <xdr:colOff>447675</xdr:colOff>
      <xdr:row>24</xdr:row>
      <xdr:rowOff>73815</xdr:rowOff>
    </xdr:to>
    <xdr:sp macro="" textlink="">
      <xdr:nvSpPr>
        <xdr:cNvPr id="48" name="Diagrama de flujo: conector 47">
          <a:extLst>
            <a:ext uri="{FF2B5EF4-FFF2-40B4-BE49-F238E27FC236}">
              <a16:creationId xmlns:a16="http://schemas.microsoft.com/office/drawing/2014/main" id="{826A93FF-DB87-49F5-9F24-0B0FE39149CF}"/>
            </a:ext>
          </a:extLst>
        </xdr:cNvPr>
        <xdr:cNvSpPr/>
      </xdr:nvSpPr>
      <xdr:spPr>
        <a:xfrm>
          <a:off x="5579784" y="415579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52901</xdr:colOff>
      <xdr:row>23</xdr:row>
      <xdr:rowOff>136244</xdr:rowOff>
    </xdr:from>
    <xdr:to>
      <xdr:col>11</xdr:col>
      <xdr:colOff>150017</xdr:colOff>
      <xdr:row>24</xdr:row>
      <xdr:rowOff>73816</xdr:rowOff>
    </xdr:to>
    <xdr:sp macro="" textlink="">
      <xdr:nvSpPr>
        <xdr:cNvPr id="49" name="Diagrama de flujo: conector 48">
          <a:extLst>
            <a:ext uri="{FF2B5EF4-FFF2-40B4-BE49-F238E27FC236}">
              <a16:creationId xmlns:a16="http://schemas.microsoft.com/office/drawing/2014/main" id="{1B99C819-DEFA-4655-A363-4D5A7BCE346C}"/>
            </a:ext>
          </a:extLst>
        </xdr:cNvPr>
        <xdr:cNvSpPr/>
      </xdr:nvSpPr>
      <xdr:spPr>
        <a:xfrm>
          <a:off x="5796476" y="415579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288646</xdr:colOff>
      <xdr:row>23</xdr:row>
      <xdr:rowOff>136246</xdr:rowOff>
    </xdr:from>
    <xdr:to>
      <xdr:col>11</xdr:col>
      <xdr:colOff>385762</xdr:colOff>
      <xdr:row>24</xdr:row>
      <xdr:rowOff>73818</xdr:rowOff>
    </xdr:to>
    <xdr:sp macro="" textlink="">
      <xdr:nvSpPr>
        <xdr:cNvPr id="50" name="Diagrama de flujo: conector 49">
          <a:extLst>
            <a:ext uri="{FF2B5EF4-FFF2-40B4-BE49-F238E27FC236}">
              <a16:creationId xmlns:a16="http://schemas.microsoft.com/office/drawing/2014/main" id="{583BEE85-66E6-442E-AF3E-DF025C5C43C8}"/>
            </a:ext>
          </a:extLst>
        </xdr:cNvPr>
        <xdr:cNvSpPr/>
      </xdr:nvSpPr>
      <xdr:spPr>
        <a:xfrm>
          <a:off x="6032221" y="415579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30</xdr:row>
      <xdr:rowOff>100539</xdr:rowOff>
    </xdr:from>
    <xdr:to>
      <xdr:col>10</xdr:col>
      <xdr:colOff>235744</xdr:colOff>
      <xdr:row>31</xdr:row>
      <xdr:rowOff>38111</xdr:rowOff>
    </xdr:to>
    <xdr:sp macro="" textlink="">
      <xdr:nvSpPr>
        <xdr:cNvPr id="51" name="Diagrama de flujo: conector 50">
          <a:extLst>
            <a:ext uri="{FF2B5EF4-FFF2-40B4-BE49-F238E27FC236}">
              <a16:creationId xmlns:a16="http://schemas.microsoft.com/office/drawing/2014/main" id="{B6939738-4AD8-4585-BABF-7426D7063755}"/>
            </a:ext>
          </a:extLst>
        </xdr:cNvPr>
        <xdr:cNvSpPr/>
      </xdr:nvSpPr>
      <xdr:spPr>
        <a:xfrm>
          <a:off x="5367853" y="525356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30</xdr:row>
      <xdr:rowOff>100540</xdr:rowOff>
    </xdr:from>
    <xdr:to>
      <xdr:col>11</xdr:col>
      <xdr:colOff>385760</xdr:colOff>
      <xdr:row>31</xdr:row>
      <xdr:rowOff>38112</xdr:rowOff>
    </xdr:to>
    <xdr:sp macro="" textlink="">
      <xdr:nvSpPr>
        <xdr:cNvPr id="52" name="Diagrama de flujo: conector 51">
          <a:extLst>
            <a:ext uri="{FF2B5EF4-FFF2-40B4-BE49-F238E27FC236}">
              <a16:creationId xmlns:a16="http://schemas.microsoft.com/office/drawing/2014/main" id="{8CBBE3BD-F7D3-470C-A8F4-3B4945377438}"/>
            </a:ext>
          </a:extLst>
        </xdr:cNvPr>
        <xdr:cNvSpPr/>
      </xdr:nvSpPr>
      <xdr:spPr>
        <a:xfrm>
          <a:off x="6032219" y="525356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55284</xdr:colOff>
      <xdr:row>30</xdr:row>
      <xdr:rowOff>100540</xdr:rowOff>
    </xdr:from>
    <xdr:to>
      <xdr:col>11</xdr:col>
      <xdr:colOff>152400</xdr:colOff>
      <xdr:row>31</xdr:row>
      <xdr:rowOff>38112</xdr:rowOff>
    </xdr:to>
    <xdr:sp macro="" textlink="">
      <xdr:nvSpPr>
        <xdr:cNvPr id="53" name="Diagrama de flujo: conector 52">
          <a:extLst>
            <a:ext uri="{FF2B5EF4-FFF2-40B4-BE49-F238E27FC236}">
              <a16:creationId xmlns:a16="http://schemas.microsoft.com/office/drawing/2014/main" id="{B16D7518-A9C8-488A-BBD5-447BCCD0F59A}"/>
            </a:ext>
          </a:extLst>
        </xdr:cNvPr>
        <xdr:cNvSpPr/>
      </xdr:nvSpPr>
      <xdr:spPr>
        <a:xfrm>
          <a:off x="5798859" y="525356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360086</xdr:colOff>
      <xdr:row>30</xdr:row>
      <xdr:rowOff>100535</xdr:rowOff>
    </xdr:from>
    <xdr:to>
      <xdr:col>10</xdr:col>
      <xdr:colOff>457202</xdr:colOff>
      <xdr:row>31</xdr:row>
      <xdr:rowOff>38107</xdr:rowOff>
    </xdr:to>
    <xdr:sp macro="" textlink="">
      <xdr:nvSpPr>
        <xdr:cNvPr id="54" name="Diagrama de flujo: conector 53">
          <a:extLst>
            <a:ext uri="{FF2B5EF4-FFF2-40B4-BE49-F238E27FC236}">
              <a16:creationId xmlns:a16="http://schemas.microsoft.com/office/drawing/2014/main" id="{E7517BB2-9907-4FB7-8A34-9066EA39D86F}"/>
            </a:ext>
          </a:extLst>
        </xdr:cNvPr>
        <xdr:cNvSpPr/>
      </xdr:nvSpPr>
      <xdr:spPr>
        <a:xfrm>
          <a:off x="5589311" y="525356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138630</xdr:colOff>
      <xdr:row>27</xdr:row>
      <xdr:rowOff>29093</xdr:rowOff>
    </xdr:from>
    <xdr:to>
      <xdr:col>10</xdr:col>
      <xdr:colOff>235746</xdr:colOff>
      <xdr:row>27</xdr:row>
      <xdr:rowOff>128590</xdr:rowOff>
    </xdr:to>
    <xdr:sp macro="" textlink="">
      <xdr:nvSpPr>
        <xdr:cNvPr id="57" name="Diagrama de flujo: conector 56">
          <a:extLst>
            <a:ext uri="{FF2B5EF4-FFF2-40B4-BE49-F238E27FC236}">
              <a16:creationId xmlns:a16="http://schemas.microsoft.com/office/drawing/2014/main" id="{4BBF6FE9-C4F1-4BD0-92C1-DFEDFB73F569}"/>
            </a:ext>
          </a:extLst>
        </xdr:cNvPr>
        <xdr:cNvSpPr/>
      </xdr:nvSpPr>
      <xdr:spPr>
        <a:xfrm>
          <a:off x="5367855" y="469634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288649</xdr:colOff>
      <xdr:row>27</xdr:row>
      <xdr:rowOff>29093</xdr:rowOff>
    </xdr:from>
    <xdr:to>
      <xdr:col>11</xdr:col>
      <xdr:colOff>385765</xdr:colOff>
      <xdr:row>27</xdr:row>
      <xdr:rowOff>128590</xdr:rowOff>
    </xdr:to>
    <xdr:sp macro="" textlink="">
      <xdr:nvSpPr>
        <xdr:cNvPr id="60" name="Diagrama de flujo: conector 59">
          <a:extLst>
            <a:ext uri="{FF2B5EF4-FFF2-40B4-BE49-F238E27FC236}">
              <a16:creationId xmlns:a16="http://schemas.microsoft.com/office/drawing/2014/main" id="{93B47BD7-C31C-428E-B15F-ED2E51C33D65}"/>
            </a:ext>
          </a:extLst>
        </xdr:cNvPr>
        <xdr:cNvSpPr/>
      </xdr:nvSpPr>
      <xdr:spPr>
        <a:xfrm>
          <a:off x="6032224" y="469634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61912</xdr:colOff>
      <xdr:row>23</xdr:row>
      <xdr:rowOff>97632</xdr:rowOff>
    </xdr:from>
    <xdr:to>
      <xdr:col>11</xdr:col>
      <xdr:colOff>457199</xdr:colOff>
      <xdr:row>24</xdr:row>
      <xdr:rowOff>114300</xdr:rowOff>
    </xdr:to>
    <xdr:sp macro="" textlink="">
      <xdr:nvSpPr>
        <xdr:cNvPr id="61" name="Elipse 60">
          <a:extLst>
            <a:ext uri="{FF2B5EF4-FFF2-40B4-BE49-F238E27FC236}">
              <a16:creationId xmlns:a16="http://schemas.microsoft.com/office/drawing/2014/main" id="{DBFB4251-2466-4142-A298-D2E1871BBAAD}"/>
            </a:ext>
          </a:extLst>
        </xdr:cNvPr>
        <xdr:cNvSpPr/>
      </xdr:nvSpPr>
      <xdr:spPr>
        <a:xfrm>
          <a:off x="5291137" y="4117182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61908</xdr:colOff>
      <xdr:row>26</xdr:row>
      <xdr:rowOff>150019</xdr:rowOff>
    </xdr:from>
    <xdr:to>
      <xdr:col>11</xdr:col>
      <xdr:colOff>457195</xdr:colOff>
      <xdr:row>28</xdr:row>
      <xdr:rowOff>4762</xdr:rowOff>
    </xdr:to>
    <xdr:sp macro="" textlink="">
      <xdr:nvSpPr>
        <xdr:cNvPr id="63" name="Elipse 62">
          <a:extLst>
            <a:ext uri="{FF2B5EF4-FFF2-40B4-BE49-F238E27FC236}">
              <a16:creationId xmlns:a16="http://schemas.microsoft.com/office/drawing/2014/main" id="{9E7C7D76-EED1-4BAE-A6A3-AAC6B942B62A}"/>
            </a:ext>
          </a:extLst>
        </xdr:cNvPr>
        <xdr:cNvSpPr/>
      </xdr:nvSpPr>
      <xdr:spPr>
        <a:xfrm>
          <a:off x="5291133" y="4655344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61905</xdr:colOff>
      <xdr:row>30</xdr:row>
      <xdr:rowOff>59528</xdr:rowOff>
    </xdr:from>
    <xdr:to>
      <xdr:col>11</xdr:col>
      <xdr:colOff>457192</xdr:colOff>
      <xdr:row>31</xdr:row>
      <xdr:rowOff>76196</xdr:rowOff>
    </xdr:to>
    <xdr:sp macro="" textlink="">
      <xdr:nvSpPr>
        <xdr:cNvPr id="65" name="Elipse 64">
          <a:extLst>
            <a:ext uri="{FF2B5EF4-FFF2-40B4-BE49-F238E27FC236}">
              <a16:creationId xmlns:a16="http://schemas.microsoft.com/office/drawing/2014/main" id="{C232B564-0961-42F2-B0D0-B208F51CD21C}"/>
            </a:ext>
          </a:extLst>
        </xdr:cNvPr>
        <xdr:cNvSpPr/>
      </xdr:nvSpPr>
      <xdr:spPr>
        <a:xfrm>
          <a:off x="5291130" y="5212553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457199</xdr:colOff>
      <xdr:row>23</xdr:row>
      <xdr:rowOff>71437</xdr:rowOff>
    </xdr:from>
    <xdr:to>
      <xdr:col>12</xdr:col>
      <xdr:colOff>402431</xdr:colOff>
      <xdr:row>24</xdr:row>
      <xdr:rowOff>25003</xdr:rowOff>
    </xdr:to>
    <xdr:cxnSp macro="">
      <xdr:nvCxnSpPr>
        <xdr:cNvPr id="66" name="Conector: curvado 65">
          <a:extLst>
            <a:ext uri="{FF2B5EF4-FFF2-40B4-BE49-F238E27FC236}">
              <a16:creationId xmlns:a16="http://schemas.microsoft.com/office/drawing/2014/main" id="{FF60EDBD-B3F4-4E5F-B964-B4779C864945}"/>
            </a:ext>
          </a:extLst>
        </xdr:cNvPr>
        <xdr:cNvCxnSpPr>
          <a:endCxn id="61" idx="6"/>
        </xdr:cNvCxnSpPr>
      </xdr:nvCxnSpPr>
      <xdr:spPr>
        <a:xfrm rot="10800000" flipV="1">
          <a:off x="6200774" y="4090987"/>
          <a:ext cx="459582" cy="115491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457195</xdr:colOff>
      <xdr:row>27</xdr:row>
      <xdr:rowOff>77392</xdr:rowOff>
    </xdr:from>
    <xdr:to>
      <xdr:col>12</xdr:col>
      <xdr:colOff>435769</xdr:colOff>
      <xdr:row>27</xdr:row>
      <xdr:rowOff>83345</xdr:rowOff>
    </xdr:to>
    <xdr:cxnSp macro="">
      <xdr:nvCxnSpPr>
        <xdr:cNvPr id="68" name="Conector: curvado 67">
          <a:extLst>
            <a:ext uri="{FF2B5EF4-FFF2-40B4-BE49-F238E27FC236}">
              <a16:creationId xmlns:a16="http://schemas.microsoft.com/office/drawing/2014/main" id="{50B08054-8659-47FF-982E-BBAEE700071F}"/>
            </a:ext>
          </a:extLst>
        </xdr:cNvPr>
        <xdr:cNvCxnSpPr>
          <a:endCxn id="63" idx="6"/>
        </xdr:cNvCxnSpPr>
      </xdr:nvCxnSpPr>
      <xdr:spPr>
        <a:xfrm rot="10800000">
          <a:off x="6200770" y="4744642"/>
          <a:ext cx="492924" cy="5953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457192</xdr:colOff>
      <xdr:row>30</xdr:row>
      <xdr:rowOff>148826</xdr:rowOff>
    </xdr:from>
    <xdr:to>
      <xdr:col>12</xdr:col>
      <xdr:colOff>431006</xdr:colOff>
      <xdr:row>31</xdr:row>
      <xdr:rowOff>80964</xdr:rowOff>
    </xdr:to>
    <xdr:cxnSp macro="">
      <xdr:nvCxnSpPr>
        <xdr:cNvPr id="70" name="Conector: curvado 69">
          <a:extLst>
            <a:ext uri="{FF2B5EF4-FFF2-40B4-BE49-F238E27FC236}">
              <a16:creationId xmlns:a16="http://schemas.microsoft.com/office/drawing/2014/main" id="{7F7C4F87-8BD2-4258-898D-AEC463B1474A}"/>
            </a:ext>
          </a:extLst>
        </xdr:cNvPr>
        <xdr:cNvCxnSpPr>
          <a:cxnSpLocks/>
          <a:endCxn id="65" idx="6"/>
        </xdr:cNvCxnSpPr>
      </xdr:nvCxnSpPr>
      <xdr:spPr>
        <a:xfrm rot="10800000">
          <a:off x="6200767" y="5301851"/>
          <a:ext cx="488164" cy="94063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85725</xdr:colOff>
      <xdr:row>28</xdr:row>
      <xdr:rowOff>47625</xdr:rowOff>
    </xdr:from>
    <xdr:to>
      <xdr:col>10</xdr:col>
      <xdr:colOff>104775</xdr:colOff>
      <xdr:row>29</xdr:row>
      <xdr:rowOff>85725</xdr:rowOff>
    </xdr:to>
    <xdr:cxnSp macro="">
      <xdr:nvCxnSpPr>
        <xdr:cNvPr id="71" name="Conector: curvado 70">
          <a:extLst>
            <a:ext uri="{FF2B5EF4-FFF2-40B4-BE49-F238E27FC236}">
              <a16:creationId xmlns:a16="http://schemas.microsoft.com/office/drawing/2014/main" id="{44A0028C-B407-4BFC-8A77-109F9754AC8C}"/>
            </a:ext>
          </a:extLst>
        </xdr:cNvPr>
        <xdr:cNvCxnSpPr/>
      </xdr:nvCxnSpPr>
      <xdr:spPr>
        <a:xfrm flipV="1">
          <a:off x="4800600" y="4876800"/>
          <a:ext cx="533400" cy="200025"/>
        </a:xfrm>
        <a:prstGeom prst="curvedConnector3">
          <a:avLst/>
        </a:prstGeom>
        <a:ln>
          <a:solidFill>
            <a:srgbClr val="7030A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228600</xdr:colOff>
      <xdr:row>35</xdr:row>
      <xdr:rowOff>4762</xdr:rowOff>
    </xdr:from>
    <xdr:ext cx="2630656" cy="4142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CuadroTexto 71">
              <a:extLst>
                <a:ext uri="{FF2B5EF4-FFF2-40B4-BE49-F238E27FC236}">
                  <a16:creationId xmlns:a16="http://schemas.microsoft.com/office/drawing/2014/main" id="{C4830FDC-57E6-400B-89E1-871D79E917A2}"/>
                </a:ext>
              </a:extLst>
            </xdr:cNvPr>
            <xdr:cNvSpPr txBox="1"/>
          </xdr:nvSpPr>
          <xdr:spPr>
            <a:xfrm>
              <a:off x="428625" y="6862762"/>
              <a:ext cx="2630656" cy="4142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ES" sz="1050" b="0" i="0">
                        <a:latin typeface="Cambria Math" panose="02040503050406030204" pitchFamily="18" charset="0"/>
                      </a:rPr>
                      <m:t>yo</m:t>
                    </m:r>
                    <m:r>
                      <a:rPr lang="es-ES" sz="1050" b="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PE" sz="105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</a:rPr>
                          <m:t>1∙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2∙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2+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3∙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3+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b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h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∙</m:t>
                        </m:r>
                        <m:f>
                          <m:fPr>
                            <m:ctrlPr>
                              <a:rPr lang="es-ES" sz="105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m:rPr>
                                <m:sty m:val="p"/>
                              </m:rPr>
                              <a:rPr lang="es-ES" sz="1050" b="0" i="0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h</m:t>
                            </m:r>
                          </m:num>
                          <m:den>
                            <m:r>
                              <a:rPr lang="es-ES" sz="1050" b="0" i="0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num>
                      <m:den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3+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b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</m:den>
                    </m:f>
                  </m:oMath>
                </m:oMathPara>
              </a14:m>
              <a:endParaRPr lang="es-PE" sz="1050" i="0"/>
            </a:p>
          </xdr:txBody>
        </xdr:sp>
      </mc:Choice>
      <mc:Fallback xmlns="">
        <xdr:sp macro="" textlink="">
          <xdr:nvSpPr>
            <xdr:cNvPr id="72" name="CuadroTexto 71">
              <a:extLst>
                <a:ext uri="{FF2B5EF4-FFF2-40B4-BE49-F238E27FC236}">
                  <a16:creationId xmlns:a16="http://schemas.microsoft.com/office/drawing/2014/main" id="{C4830FDC-57E6-400B-89E1-871D79E917A2}"/>
                </a:ext>
              </a:extLst>
            </xdr:cNvPr>
            <xdr:cNvSpPr txBox="1"/>
          </xdr:nvSpPr>
          <xdr:spPr>
            <a:xfrm>
              <a:off x="428625" y="6862762"/>
              <a:ext cx="2630656" cy="4142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s-ES" sz="1050" b="0" i="0">
                  <a:latin typeface="Cambria Math" panose="02040503050406030204" pitchFamily="18" charset="0"/>
                </a:rPr>
                <a:t>yo=</a:t>
              </a:r>
              <a:r>
                <a:rPr lang="es-PE" sz="1050" i="0">
                  <a:latin typeface="Cambria Math" panose="02040503050406030204" pitchFamily="18" charset="0"/>
                </a:rPr>
                <a:t>(</a:t>
              </a:r>
              <a:r>
                <a:rPr lang="es-ES" sz="1050" b="0" i="0">
                  <a:latin typeface="Cambria Math" panose="02040503050406030204" pitchFamily="18" charset="0"/>
                </a:rPr>
                <a:t>As1∙</a:t>
              </a:r>
              <a:r>
                <a:rPr lang="es-ES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d1+As2∙d2+As3∙d3+b∙h</a:t>
              </a:r>
              <a:r>
                <a:rPr lang="es-ES" sz="105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∙</a:t>
              </a:r>
              <a:r>
                <a:rPr lang="es-ES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h/2</a:t>
              </a:r>
              <a:r>
                <a:rPr lang="es-PE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)/(</a:t>
              </a:r>
              <a:r>
                <a:rPr lang="es-ES" sz="105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As1+As2+As3+b∙h</a:t>
              </a:r>
              <a:r>
                <a:rPr lang="es-PE" sz="105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</a:t>
              </a:r>
              <a:endParaRPr lang="es-PE" sz="1050" i="0"/>
            </a:p>
          </xdr:txBody>
        </xdr:sp>
      </mc:Fallback>
    </mc:AlternateContent>
    <xdr:clientData/>
  </xdr:oneCellAnchor>
  <xdr:twoCellAnchor editAs="oneCell">
    <xdr:from>
      <xdr:col>4</xdr:col>
      <xdr:colOff>0</xdr:colOff>
      <xdr:row>119</xdr:row>
      <xdr:rowOff>0</xdr:rowOff>
    </xdr:from>
    <xdr:to>
      <xdr:col>13</xdr:col>
      <xdr:colOff>408354</xdr:colOff>
      <xdr:row>149</xdr:row>
      <xdr:rowOff>83820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13645FB-2FD3-4A53-8ED2-E53A289DB5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3080" y="21175980"/>
          <a:ext cx="5551854" cy="5341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</xdr:row>
      <xdr:rowOff>0</xdr:rowOff>
    </xdr:from>
    <xdr:to>
      <xdr:col>20</xdr:col>
      <xdr:colOff>286821</xdr:colOff>
      <xdr:row>23</xdr:row>
      <xdr:rowOff>160020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F29995-779E-43EF-BC15-E57FBA15CD6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36" r="10019" b="35387"/>
        <a:stretch/>
      </xdr:blipFill>
      <xdr:spPr bwMode="auto">
        <a:xfrm>
          <a:off x="9029700" y="2918460"/>
          <a:ext cx="200132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678180</xdr:colOff>
      <xdr:row>20</xdr:row>
      <xdr:rowOff>60960</xdr:rowOff>
    </xdr:from>
    <xdr:to>
      <xdr:col>26</xdr:col>
      <xdr:colOff>12501</xdr:colOff>
      <xdr:row>29</xdr:row>
      <xdr:rowOff>45720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3CC267F-DB3C-489B-AF60-C395125E0D2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36" r="10019" b="35387"/>
        <a:stretch/>
      </xdr:blipFill>
      <xdr:spPr bwMode="auto">
        <a:xfrm>
          <a:off x="12854940" y="3855720"/>
          <a:ext cx="200132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55186</xdr:colOff>
      <xdr:row>83</xdr:row>
      <xdr:rowOff>27693</xdr:rowOff>
    </xdr:from>
    <xdr:to>
      <xdr:col>13</xdr:col>
      <xdr:colOff>209550</xdr:colOff>
      <xdr:row>118</xdr:row>
      <xdr:rowOff>76200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F3B13C01-3A8D-4EED-AE27-6749AD085D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513521</xdr:colOff>
      <xdr:row>5</xdr:row>
      <xdr:rowOff>0</xdr:rowOff>
    </xdr:from>
    <xdr:to>
      <xdr:col>12</xdr:col>
      <xdr:colOff>0</xdr:colOff>
      <xdr:row>14</xdr:row>
      <xdr:rowOff>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E62871BB-8802-4AAD-9F35-66F464E4207A}"/>
            </a:ext>
          </a:extLst>
        </xdr:cNvPr>
        <xdr:cNvSpPr/>
      </xdr:nvSpPr>
      <xdr:spPr>
        <a:xfrm>
          <a:off x="5228396" y="1104900"/>
          <a:ext cx="1029529" cy="1457325"/>
        </a:xfrm>
        <a:prstGeom prst="rect">
          <a:avLst/>
        </a:prstGeom>
        <a:noFill/>
        <a:ln w="28575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119268</xdr:colOff>
      <xdr:row>5</xdr:row>
      <xdr:rowOff>115955</xdr:rowOff>
    </xdr:from>
    <xdr:to>
      <xdr:col>11</xdr:col>
      <xdr:colOff>405847</xdr:colOff>
      <xdr:row>13</xdr:row>
      <xdr:rowOff>57977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61D2C8C-EF27-40A8-949B-EB1E87007821}"/>
            </a:ext>
          </a:extLst>
        </xdr:cNvPr>
        <xdr:cNvSpPr/>
      </xdr:nvSpPr>
      <xdr:spPr>
        <a:xfrm>
          <a:off x="5348493" y="1220855"/>
          <a:ext cx="800929" cy="1237422"/>
        </a:xfrm>
        <a:prstGeom prst="rect">
          <a:avLst/>
        </a:prstGeom>
        <a:noFill/>
        <a:ln w="1905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5</xdr:row>
      <xdr:rowOff>136246</xdr:rowOff>
    </xdr:from>
    <xdr:to>
      <xdr:col>10</xdr:col>
      <xdr:colOff>235744</xdr:colOff>
      <xdr:row>6</xdr:row>
      <xdr:rowOff>73818</xdr:rowOff>
    </xdr:to>
    <xdr:sp macro="" textlink="">
      <xdr:nvSpPr>
        <xdr:cNvPr id="5" name="Diagrama de flujo: conector 4">
          <a:extLst>
            <a:ext uri="{FF2B5EF4-FFF2-40B4-BE49-F238E27FC236}">
              <a16:creationId xmlns:a16="http://schemas.microsoft.com/office/drawing/2014/main" id="{04A6A5C6-3C2A-4692-B7FD-641CC3F80464}"/>
            </a:ext>
          </a:extLst>
        </xdr:cNvPr>
        <xdr:cNvSpPr/>
      </xdr:nvSpPr>
      <xdr:spPr>
        <a:xfrm>
          <a:off x="5367853" y="124114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350559</xdr:colOff>
      <xdr:row>5</xdr:row>
      <xdr:rowOff>136243</xdr:rowOff>
    </xdr:from>
    <xdr:to>
      <xdr:col>10</xdr:col>
      <xdr:colOff>447675</xdr:colOff>
      <xdr:row>6</xdr:row>
      <xdr:rowOff>73815</xdr:rowOff>
    </xdr:to>
    <xdr:sp macro="" textlink="">
      <xdr:nvSpPr>
        <xdr:cNvPr id="6" name="Diagrama de flujo: conector 5">
          <a:extLst>
            <a:ext uri="{FF2B5EF4-FFF2-40B4-BE49-F238E27FC236}">
              <a16:creationId xmlns:a16="http://schemas.microsoft.com/office/drawing/2014/main" id="{F2A4DD7E-3A01-402E-899B-7AD2D7B5CF10}"/>
            </a:ext>
          </a:extLst>
        </xdr:cNvPr>
        <xdr:cNvSpPr/>
      </xdr:nvSpPr>
      <xdr:spPr>
        <a:xfrm>
          <a:off x="5579784" y="124114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52901</xdr:colOff>
      <xdr:row>5</xdr:row>
      <xdr:rowOff>136244</xdr:rowOff>
    </xdr:from>
    <xdr:to>
      <xdr:col>11</xdr:col>
      <xdr:colOff>150017</xdr:colOff>
      <xdr:row>6</xdr:row>
      <xdr:rowOff>73816</xdr:rowOff>
    </xdr:to>
    <xdr:sp macro="" textlink="">
      <xdr:nvSpPr>
        <xdr:cNvPr id="7" name="Diagrama de flujo: conector 6">
          <a:extLst>
            <a:ext uri="{FF2B5EF4-FFF2-40B4-BE49-F238E27FC236}">
              <a16:creationId xmlns:a16="http://schemas.microsoft.com/office/drawing/2014/main" id="{D1075814-F6CB-445F-BF93-B6B217E350D4}"/>
            </a:ext>
          </a:extLst>
        </xdr:cNvPr>
        <xdr:cNvSpPr/>
      </xdr:nvSpPr>
      <xdr:spPr>
        <a:xfrm>
          <a:off x="5796476" y="124114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288646</xdr:colOff>
      <xdr:row>5</xdr:row>
      <xdr:rowOff>136246</xdr:rowOff>
    </xdr:from>
    <xdr:to>
      <xdr:col>11</xdr:col>
      <xdr:colOff>385762</xdr:colOff>
      <xdr:row>6</xdr:row>
      <xdr:rowOff>73818</xdr:rowOff>
    </xdr:to>
    <xdr:sp macro="" textlink="">
      <xdr:nvSpPr>
        <xdr:cNvPr id="8" name="Diagrama de flujo: conector 7">
          <a:extLst>
            <a:ext uri="{FF2B5EF4-FFF2-40B4-BE49-F238E27FC236}">
              <a16:creationId xmlns:a16="http://schemas.microsoft.com/office/drawing/2014/main" id="{35C3B02E-7912-4219-9174-CFC675A0855A}"/>
            </a:ext>
          </a:extLst>
        </xdr:cNvPr>
        <xdr:cNvSpPr/>
      </xdr:nvSpPr>
      <xdr:spPr>
        <a:xfrm>
          <a:off x="6032221" y="124114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12</xdr:row>
      <xdr:rowOff>100539</xdr:rowOff>
    </xdr:from>
    <xdr:to>
      <xdr:col>10</xdr:col>
      <xdr:colOff>235744</xdr:colOff>
      <xdr:row>13</xdr:row>
      <xdr:rowOff>38111</xdr:rowOff>
    </xdr:to>
    <xdr:sp macro="" textlink="">
      <xdr:nvSpPr>
        <xdr:cNvPr id="9" name="Diagrama de flujo: conector 8">
          <a:extLst>
            <a:ext uri="{FF2B5EF4-FFF2-40B4-BE49-F238E27FC236}">
              <a16:creationId xmlns:a16="http://schemas.microsoft.com/office/drawing/2014/main" id="{AAFFF131-8D8D-4916-94E7-4BC4959B00BF}"/>
            </a:ext>
          </a:extLst>
        </xdr:cNvPr>
        <xdr:cNvSpPr/>
      </xdr:nvSpPr>
      <xdr:spPr>
        <a:xfrm>
          <a:off x="5367853" y="233891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12</xdr:row>
      <xdr:rowOff>100540</xdr:rowOff>
    </xdr:from>
    <xdr:to>
      <xdr:col>11</xdr:col>
      <xdr:colOff>385760</xdr:colOff>
      <xdr:row>13</xdr:row>
      <xdr:rowOff>38112</xdr:rowOff>
    </xdr:to>
    <xdr:sp macro="" textlink="">
      <xdr:nvSpPr>
        <xdr:cNvPr id="10" name="Diagrama de flujo: conector 9">
          <a:extLst>
            <a:ext uri="{FF2B5EF4-FFF2-40B4-BE49-F238E27FC236}">
              <a16:creationId xmlns:a16="http://schemas.microsoft.com/office/drawing/2014/main" id="{DF38FBDC-0519-481A-83A5-94A178744CCD}"/>
            </a:ext>
          </a:extLst>
        </xdr:cNvPr>
        <xdr:cNvSpPr/>
      </xdr:nvSpPr>
      <xdr:spPr>
        <a:xfrm>
          <a:off x="6032219" y="233891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55284</xdr:colOff>
      <xdr:row>12</xdr:row>
      <xdr:rowOff>100540</xdr:rowOff>
    </xdr:from>
    <xdr:to>
      <xdr:col>11</xdr:col>
      <xdr:colOff>152400</xdr:colOff>
      <xdr:row>13</xdr:row>
      <xdr:rowOff>38112</xdr:rowOff>
    </xdr:to>
    <xdr:sp macro="" textlink="">
      <xdr:nvSpPr>
        <xdr:cNvPr id="11" name="Diagrama de flujo: conector 10">
          <a:extLst>
            <a:ext uri="{FF2B5EF4-FFF2-40B4-BE49-F238E27FC236}">
              <a16:creationId xmlns:a16="http://schemas.microsoft.com/office/drawing/2014/main" id="{BD0BCC55-DFF4-4212-BCDE-1B4AA1512463}"/>
            </a:ext>
          </a:extLst>
        </xdr:cNvPr>
        <xdr:cNvSpPr/>
      </xdr:nvSpPr>
      <xdr:spPr>
        <a:xfrm>
          <a:off x="5798859" y="233891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360086</xdr:colOff>
      <xdr:row>12</xdr:row>
      <xdr:rowOff>100535</xdr:rowOff>
    </xdr:from>
    <xdr:to>
      <xdr:col>10</xdr:col>
      <xdr:colOff>457202</xdr:colOff>
      <xdr:row>13</xdr:row>
      <xdr:rowOff>38107</xdr:rowOff>
    </xdr:to>
    <xdr:sp macro="" textlink="">
      <xdr:nvSpPr>
        <xdr:cNvPr id="12" name="Diagrama de flujo: conector 11">
          <a:extLst>
            <a:ext uri="{FF2B5EF4-FFF2-40B4-BE49-F238E27FC236}">
              <a16:creationId xmlns:a16="http://schemas.microsoft.com/office/drawing/2014/main" id="{E20B8030-94BC-443D-87A4-E6EFCE17D7E5}"/>
            </a:ext>
          </a:extLst>
        </xdr:cNvPr>
        <xdr:cNvSpPr/>
      </xdr:nvSpPr>
      <xdr:spPr>
        <a:xfrm>
          <a:off x="5589311" y="233891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138626</xdr:colOff>
      <xdr:row>8</xdr:row>
      <xdr:rowOff>14801</xdr:rowOff>
    </xdr:from>
    <xdr:to>
      <xdr:col>10</xdr:col>
      <xdr:colOff>235742</xdr:colOff>
      <xdr:row>8</xdr:row>
      <xdr:rowOff>114298</xdr:rowOff>
    </xdr:to>
    <xdr:sp macro="" textlink="">
      <xdr:nvSpPr>
        <xdr:cNvPr id="13" name="Diagrama de flujo: conector 12">
          <a:extLst>
            <a:ext uri="{FF2B5EF4-FFF2-40B4-BE49-F238E27FC236}">
              <a16:creationId xmlns:a16="http://schemas.microsoft.com/office/drawing/2014/main" id="{29AFEA9A-928D-4017-8035-E3FEBBCB932B}"/>
            </a:ext>
          </a:extLst>
        </xdr:cNvPr>
        <xdr:cNvSpPr/>
      </xdr:nvSpPr>
      <xdr:spPr>
        <a:xfrm>
          <a:off x="5367851" y="160547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10</xdr:row>
      <xdr:rowOff>48145</xdr:rowOff>
    </xdr:from>
    <xdr:to>
      <xdr:col>10</xdr:col>
      <xdr:colOff>235744</xdr:colOff>
      <xdr:row>10</xdr:row>
      <xdr:rowOff>147642</xdr:rowOff>
    </xdr:to>
    <xdr:sp macro="" textlink="">
      <xdr:nvSpPr>
        <xdr:cNvPr id="14" name="Diagrama de flujo: conector 13">
          <a:extLst>
            <a:ext uri="{FF2B5EF4-FFF2-40B4-BE49-F238E27FC236}">
              <a16:creationId xmlns:a16="http://schemas.microsoft.com/office/drawing/2014/main" id="{ECA5D6E5-F22D-4728-A85E-15A77B1CA304}"/>
            </a:ext>
          </a:extLst>
        </xdr:cNvPr>
        <xdr:cNvSpPr/>
      </xdr:nvSpPr>
      <xdr:spPr>
        <a:xfrm>
          <a:off x="5367853" y="196267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8</xdr:row>
      <xdr:rowOff>14801</xdr:rowOff>
    </xdr:from>
    <xdr:to>
      <xdr:col>11</xdr:col>
      <xdr:colOff>385760</xdr:colOff>
      <xdr:row>8</xdr:row>
      <xdr:rowOff>114298</xdr:rowOff>
    </xdr:to>
    <xdr:sp macro="" textlink="">
      <xdr:nvSpPr>
        <xdr:cNvPr id="16" name="Diagrama de flujo: conector 15">
          <a:extLst>
            <a:ext uri="{FF2B5EF4-FFF2-40B4-BE49-F238E27FC236}">
              <a16:creationId xmlns:a16="http://schemas.microsoft.com/office/drawing/2014/main" id="{D56E7C33-02B1-4A05-A957-00F11C32AF18}"/>
            </a:ext>
          </a:extLst>
        </xdr:cNvPr>
        <xdr:cNvSpPr/>
      </xdr:nvSpPr>
      <xdr:spPr>
        <a:xfrm>
          <a:off x="6032219" y="160547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288647</xdr:colOff>
      <xdr:row>10</xdr:row>
      <xdr:rowOff>48145</xdr:rowOff>
    </xdr:from>
    <xdr:to>
      <xdr:col>11</xdr:col>
      <xdr:colOff>385763</xdr:colOff>
      <xdr:row>10</xdr:row>
      <xdr:rowOff>147642</xdr:rowOff>
    </xdr:to>
    <xdr:sp macro="" textlink="">
      <xdr:nvSpPr>
        <xdr:cNvPr id="17" name="Diagrama de flujo: conector 16">
          <a:extLst>
            <a:ext uri="{FF2B5EF4-FFF2-40B4-BE49-F238E27FC236}">
              <a16:creationId xmlns:a16="http://schemas.microsoft.com/office/drawing/2014/main" id="{6E9C166C-513E-4473-B574-8C129D3251FC}"/>
            </a:ext>
          </a:extLst>
        </xdr:cNvPr>
        <xdr:cNvSpPr/>
      </xdr:nvSpPr>
      <xdr:spPr>
        <a:xfrm>
          <a:off x="6032222" y="196267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61912</xdr:colOff>
      <xdr:row>5</xdr:row>
      <xdr:rowOff>97632</xdr:rowOff>
    </xdr:from>
    <xdr:to>
      <xdr:col>11</xdr:col>
      <xdr:colOff>457199</xdr:colOff>
      <xdr:row>6</xdr:row>
      <xdr:rowOff>114300</xdr:rowOff>
    </xdr:to>
    <xdr:sp macro="" textlink="">
      <xdr:nvSpPr>
        <xdr:cNvPr id="19" name="Elipse 18">
          <a:extLst>
            <a:ext uri="{FF2B5EF4-FFF2-40B4-BE49-F238E27FC236}">
              <a16:creationId xmlns:a16="http://schemas.microsoft.com/office/drawing/2014/main" id="{23630ACE-83E0-489F-9E7F-B59CDBC7DAEB}"/>
            </a:ext>
          </a:extLst>
        </xdr:cNvPr>
        <xdr:cNvSpPr/>
      </xdr:nvSpPr>
      <xdr:spPr>
        <a:xfrm>
          <a:off x="5291137" y="1202532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64290</xdr:colOff>
      <xdr:row>7</xdr:row>
      <xdr:rowOff>135732</xdr:rowOff>
    </xdr:from>
    <xdr:to>
      <xdr:col>11</xdr:col>
      <xdr:colOff>459577</xdr:colOff>
      <xdr:row>8</xdr:row>
      <xdr:rowOff>152400</xdr:rowOff>
    </xdr:to>
    <xdr:sp macro="" textlink="">
      <xdr:nvSpPr>
        <xdr:cNvPr id="20" name="Elipse 19">
          <a:extLst>
            <a:ext uri="{FF2B5EF4-FFF2-40B4-BE49-F238E27FC236}">
              <a16:creationId xmlns:a16="http://schemas.microsoft.com/office/drawing/2014/main" id="{E9A4DDCF-80EE-4AA5-A1BD-D073B0C769AF}"/>
            </a:ext>
          </a:extLst>
        </xdr:cNvPr>
        <xdr:cNvSpPr/>
      </xdr:nvSpPr>
      <xdr:spPr>
        <a:xfrm>
          <a:off x="5293515" y="1564482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64288</xdr:colOff>
      <xdr:row>10</xdr:row>
      <xdr:rowOff>9524</xdr:rowOff>
    </xdr:from>
    <xdr:to>
      <xdr:col>11</xdr:col>
      <xdr:colOff>459575</xdr:colOff>
      <xdr:row>11</xdr:row>
      <xdr:rowOff>26192</xdr:rowOff>
    </xdr:to>
    <xdr:sp macro="" textlink="">
      <xdr:nvSpPr>
        <xdr:cNvPr id="22" name="Elipse 21">
          <a:extLst>
            <a:ext uri="{FF2B5EF4-FFF2-40B4-BE49-F238E27FC236}">
              <a16:creationId xmlns:a16="http://schemas.microsoft.com/office/drawing/2014/main" id="{B349DC81-D8ED-49AA-B051-E4BC353C0D14}"/>
            </a:ext>
          </a:extLst>
        </xdr:cNvPr>
        <xdr:cNvSpPr/>
      </xdr:nvSpPr>
      <xdr:spPr>
        <a:xfrm>
          <a:off x="5293513" y="1924049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61905</xdr:colOff>
      <xdr:row>12</xdr:row>
      <xdr:rowOff>59528</xdr:rowOff>
    </xdr:from>
    <xdr:to>
      <xdr:col>11</xdr:col>
      <xdr:colOff>457192</xdr:colOff>
      <xdr:row>13</xdr:row>
      <xdr:rowOff>76196</xdr:rowOff>
    </xdr:to>
    <xdr:sp macro="" textlink="">
      <xdr:nvSpPr>
        <xdr:cNvPr id="23" name="Elipse 22">
          <a:extLst>
            <a:ext uri="{FF2B5EF4-FFF2-40B4-BE49-F238E27FC236}">
              <a16:creationId xmlns:a16="http://schemas.microsoft.com/office/drawing/2014/main" id="{DAC40043-7A11-4E49-89C5-9B6BAFCC1EF4}"/>
            </a:ext>
          </a:extLst>
        </xdr:cNvPr>
        <xdr:cNvSpPr/>
      </xdr:nvSpPr>
      <xdr:spPr>
        <a:xfrm>
          <a:off x="5291130" y="2297903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457199</xdr:colOff>
      <xdr:row>5</xdr:row>
      <xdr:rowOff>90235</xdr:rowOff>
    </xdr:from>
    <xdr:to>
      <xdr:col>12</xdr:col>
      <xdr:colOff>431131</xdr:colOff>
      <xdr:row>6</xdr:row>
      <xdr:rowOff>25755</xdr:rowOff>
    </xdr:to>
    <xdr:cxnSp macro="">
      <xdr:nvCxnSpPr>
        <xdr:cNvPr id="24" name="Conector: curvado 23">
          <a:extLst>
            <a:ext uri="{FF2B5EF4-FFF2-40B4-BE49-F238E27FC236}">
              <a16:creationId xmlns:a16="http://schemas.microsoft.com/office/drawing/2014/main" id="{63D3172F-6AD5-43D9-8DF8-946C49536BB3}"/>
            </a:ext>
          </a:extLst>
        </xdr:cNvPr>
        <xdr:cNvCxnSpPr>
          <a:endCxn id="19" idx="6"/>
        </xdr:cNvCxnSpPr>
      </xdr:nvCxnSpPr>
      <xdr:spPr>
        <a:xfrm rot="10800000" flipV="1">
          <a:off x="6212304" y="1188117"/>
          <a:ext cx="490288" cy="95941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459578</xdr:colOff>
      <xdr:row>7</xdr:row>
      <xdr:rowOff>80209</xdr:rowOff>
    </xdr:from>
    <xdr:to>
      <xdr:col>12</xdr:col>
      <xdr:colOff>436145</xdr:colOff>
      <xdr:row>8</xdr:row>
      <xdr:rowOff>63855</xdr:rowOff>
    </xdr:to>
    <xdr:cxnSp macro="">
      <xdr:nvCxnSpPr>
        <xdr:cNvPr id="25" name="Conector: curvado 24">
          <a:extLst>
            <a:ext uri="{FF2B5EF4-FFF2-40B4-BE49-F238E27FC236}">
              <a16:creationId xmlns:a16="http://schemas.microsoft.com/office/drawing/2014/main" id="{33A10389-2188-432D-963F-80A53822480A}"/>
            </a:ext>
          </a:extLst>
        </xdr:cNvPr>
        <xdr:cNvCxnSpPr>
          <a:cxnSpLocks/>
          <a:endCxn id="20" idx="6"/>
        </xdr:cNvCxnSpPr>
      </xdr:nvCxnSpPr>
      <xdr:spPr>
        <a:xfrm rot="10800000" flipV="1">
          <a:off x="6214683" y="1498933"/>
          <a:ext cx="492923" cy="144067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459575</xdr:colOff>
      <xdr:row>9</xdr:row>
      <xdr:rowOff>85222</xdr:rowOff>
    </xdr:from>
    <xdr:to>
      <xdr:col>12</xdr:col>
      <xdr:colOff>456197</xdr:colOff>
      <xdr:row>10</xdr:row>
      <xdr:rowOff>98068</xdr:rowOff>
    </xdr:to>
    <xdr:cxnSp macro="">
      <xdr:nvCxnSpPr>
        <xdr:cNvPr id="27" name="Conector: curvado 26">
          <a:extLst>
            <a:ext uri="{FF2B5EF4-FFF2-40B4-BE49-F238E27FC236}">
              <a16:creationId xmlns:a16="http://schemas.microsoft.com/office/drawing/2014/main" id="{EFD92B14-77E6-40BA-AECF-55F10ECF85CC}"/>
            </a:ext>
          </a:extLst>
        </xdr:cNvPr>
        <xdr:cNvCxnSpPr>
          <a:endCxn id="22" idx="6"/>
        </xdr:cNvCxnSpPr>
      </xdr:nvCxnSpPr>
      <xdr:spPr>
        <a:xfrm rot="10800000" flipV="1">
          <a:off x="6214680" y="1824788"/>
          <a:ext cx="512978" cy="173267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457193</xdr:colOff>
      <xdr:row>11</xdr:row>
      <xdr:rowOff>85224</xdr:rowOff>
    </xdr:from>
    <xdr:to>
      <xdr:col>12</xdr:col>
      <xdr:colOff>466224</xdr:colOff>
      <xdr:row>12</xdr:row>
      <xdr:rowOff>148073</xdr:rowOff>
    </xdr:to>
    <xdr:cxnSp macro="">
      <xdr:nvCxnSpPr>
        <xdr:cNvPr id="28" name="Conector: curvado 27">
          <a:extLst>
            <a:ext uri="{FF2B5EF4-FFF2-40B4-BE49-F238E27FC236}">
              <a16:creationId xmlns:a16="http://schemas.microsoft.com/office/drawing/2014/main" id="{56EB7774-12BD-44B5-86CF-21D2DFD0758F}"/>
            </a:ext>
          </a:extLst>
        </xdr:cNvPr>
        <xdr:cNvCxnSpPr>
          <a:endCxn id="23" idx="6"/>
        </xdr:cNvCxnSpPr>
      </xdr:nvCxnSpPr>
      <xdr:spPr>
        <a:xfrm rot="10800000" flipV="1">
          <a:off x="6212298" y="2145632"/>
          <a:ext cx="525387" cy="223270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344521</xdr:colOff>
      <xdr:row>4</xdr:row>
      <xdr:rowOff>158074</xdr:rowOff>
    </xdr:from>
    <xdr:to>
      <xdr:col>9</xdr:col>
      <xdr:colOff>348575</xdr:colOff>
      <xdr:row>6</xdr:row>
      <xdr:rowOff>28372</xdr:rowOff>
    </xdr:to>
    <xdr:cxnSp macro="">
      <xdr:nvCxnSpPr>
        <xdr:cNvPr id="29" name="Conector recto de flecha 28">
          <a:extLst>
            <a:ext uri="{FF2B5EF4-FFF2-40B4-BE49-F238E27FC236}">
              <a16:creationId xmlns:a16="http://schemas.microsoft.com/office/drawing/2014/main" id="{8DF3CEF2-9CCA-49D5-9C6F-A8B1E1675AFC}"/>
            </a:ext>
          </a:extLst>
        </xdr:cNvPr>
        <xdr:cNvCxnSpPr/>
      </xdr:nvCxnSpPr>
      <xdr:spPr>
        <a:xfrm flipV="1">
          <a:off x="5059396" y="1101049"/>
          <a:ext cx="4054" cy="19414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141865</xdr:colOff>
      <xdr:row>4</xdr:row>
      <xdr:rowOff>158075</xdr:rowOff>
    </xdr:from>
    <xdr:to>
      <xdr:col>9</xdr:col>
      <xdr:colOff>145381</xdr:colOff>
      <xdr:row>8</xdr:row>
      <xdr:rowOff>70184</xdr:rowOff>
    </xdr:to>
    <xdr:cxnSp macro="">
      <xdr:nvCxnSpPr>
        <xdr:cNvPr id="30" name="Conector recto de flecha 29">
          <a:extLst>
            <a:ext uri="{FF2B5EF4-FFF2-40B4-BE49-F238E27FC236}">
              <a16:creationId xmlns:a16="http://schemas.microsoft.com/office/drawing/2014/main" id="{A62D17C3-C148-45F6-914E-35DB6B5D9F74}"/>
            </a:ext>
          </a:extLst>
        </xdr:cNvPr>
        <xdr:cNvCxnSpPr/>
      </xdr:nvCxnSpPr>
      <xdr:spPr>
        <a:xfrm flipH="1" flipV="1">
          <a:off x="4864260" y="1095536"/>
          <a:ext cx="3516" cy="553793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230606</xdr:colOff>
      <xdr:row>5</xdr:row>
      <xdr:rowOff>0</xdr:rowOff>
    </xdr:from>
    <xdr:to>
      <xdr:col>8</xdr:col>
      <xdr:colOff>231030</xdr:colOff>
      <xdr:row>10</xdr:row>
      <xdr:rowOff>105276</xdr:rowOff>
    </xdr:to>
    <xdr:cxnSp macro="">
      <xdr:nvCxnSpPr>
        <xdr:cNvPr id="32" name="Conector recto de flecha 31">
          <a:extLst>
            <a:ext uri="{FF2B5EF4-FFF2-40B4-BE49-F238E27FC236}">
              <a16:creationId xmlns:a16="http://schemas.microsoft.com/office/drawing/2014/main" id="{67BA0173-F80E-4752-B306-B6950DFF7F99}"/>
            </a:ext>
          </a:extLst>
        </xdr:cNvPr>
        <xdr:cNvCxnSpPr/>
      </xdr:nvCxnSpPr>
      <xdr:spPr>
        <a:xfrm flipV="1">
          <a:off x="4436645" y="1097882"/>
          <a:ext cx="424" cy="907381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16212</xdr:colOff>
      <xdr:row>5</xdr:row>
      <xdr:rowOff>0</xdr:rowOff>
    </xdr:from>
    <xdr:to>
      <xdr:col>8</xdr:col>
      <xdr:colOff>16212</xdr:colOff>
      <xdr:row>12</xdr:row>
      <xdr:rowOff>154021</xdr:rowOff>
    </xdr:to>
    <xdr:cxnSp macro="">
      <xdr:nvCxnSpPr>
        <xdr:cNvPr id="33" name="Conector recto de flecha 32">
          <a:extLst>
            <a:ext uri="{FF2B5EF4-FFF2-40B4-BE49-F238E27FC236}">
              <a16:creationId xmlns:a16="http://schemas.microsoft.com/office/drawing/2014/main" id="{B48A426E-5AF3-41F3-B0B2-DF3BA0DD4EF0}"/>
            </a:ext>
          </a:extLst>
        </xdr:cNvPr>
        <xdr:cNvCxnSpPr/>
      </xdr:nvCxnSpPr>
      <xdr:spPr>
        <a:xfrm flipV="1">
          <a:off x="4216737" y="1104900"/>
          <a:ext cx="0" cy="12874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595819</xdr:colOff>
      <xdr:row>5</xdr:row>
      <xdr:rowOff>0</xdr:rowOff>
    </xdr:from>
    <xdr:to>
      <xdr:col>10</xdr:col>
      <xdr:colOff>12160</xdr:colOff>
      <xdr:row>5</xdr:row>
      <xdr:rowOff>4053</xdr:rowOff>
    </xdr:to>
    <xdr:cxnSp macro="">
      <xdr:nvCxnSpPr>
        <xdr:cNvPr id="34" name="Conector recto 33">
          <a:extLst>
            <a:ext uri="{FF2B5EF4-FFF2-40B4-BE49-F238E27FC236}">
              <a16:creationId xmlns:a16="http://schemas.microsoft.com/office/drawing/2014/main" id="{F221080C-03DE-48A4-8EB7-957934CC2CE6}"/>
            </a:ext>
          </a:extLst>
        </xdr:cNvPr>
        <xdr:cNvCxnSpPr/>
      </xdr:nvCxnSpPr>
      <xdr:spPr>
        <a:xfrm flipV="1">
          <a:off x="4148644" y="1104900"/>
          <a:ext cx="1092741" cy="4053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299936</xdr:colOff>
      <xdr:row>6</xdr:row>
      <xdr:rowOff>23968</xdr:rowOff>
    </xdr:from>
    <xdr:to>
      <xdr:col>10</xdr:col>
      <xdr:colOff>138628</xdr:colOff>
      <xdr:row>6</xdr:row>
      <xdr:rowOff>24319</xdr:rowOff>
    </xdr:to>
    <xdr:cxnSp macro="">
      <xdr:nvCxnSpPr>
        <xdr:cNvPr id="35" name="Conector recto 34">
          <a:extLst>
            <a:ext uri="{FF2B5EF4-FFF2-40B4-BE49-F238E27FC236}">
              <a16:creationId xmlns:a16="http://schemas.microsoft.com/office/drawing/2014/main" id="{A77F4B70-4B1D-4311-99AF-D54F9D3F7D65}"/>
            </a:ext>
          </a:extLst>
        </xdr:cNvPr>
        <xdr:cNvCxnSpPr>
          <a:stCxn id="5" idx="2"/>
        </xdr:cNvCxnSpPr>
      </xdr:nvCxnSpPr>
      <xdr:spPr>
        <a:xfrm flipH="1">
          <a:off x="5014811" y="1290793"/>
          <a:ext cx="353042" cy="351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77011</xdr:colOff>
      <xdr:row>8</xdr:row>
      <xdr:rowOff>69161</xdr:rowOff>
    </xdr:from>
    <xdr:to>
      <xdr:col>10</xdr:col>
      <xdr:colOff>132954</xdr:colOff>
      <xdr:row>8</xdr:row>
      <xdr:rowOff>71134</xdr:rowOff>
    </xdr:to>
    <xdr:cxnSp macro="">
      <xdr:nvCxnSpPr>
        <xdr:cNvPr id="36" name="Conector recto 35">
          <a:extLst>
            <a:ext uri="{FF2B5EF4-FFF2-40B4-BE49-F238E27FC236}">
              <a16:creationId xmlns:a16="http://schemas.microsoft.com/office/drawing/2014/main" id="{6614FE6F-2AC6-4C00-BB08-6FC6B35C0B66}"/>
            </a:ext>
          </a:extLst>
        </xdr:cNvPr>
        <xdr:cNvCxnSpPr/>
      </xdr:nvCxnSpPr>
      <xdr:spPr>
        <a:xfrm flipH="1">
          <a:off x="4791886" y="1659836"/>
          <a:ext cx="570293" cy="1973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166180</xdr:colOff>
      <xdr:row>10</xdr:row>
      <xdr:rowOff>97939</xdr:rowOff>
    </xdr:from>
    <xdr:to>
      <xdr:col>10</xdr:col>
      <xdr:colOff>137818</xdr:colOff>
      <xdr:row>10</xdr:row>
      <xdr:rowOff>99100</xdr:rowOff>
    </xdr:to>
    <xdr:cxnSp macro="">
      <xdr:nvCxnSpPr>
        <xdr:cNvPr id="38" name="Conector recto 37">
          <a:extLst>
            <a:ext uri="{FF2B5EF4-FFF2-40B4-BE49-F238E27FC236}">
              <a16:creationId xmlns:a16="http://schemas.microsoft.com/office/drawing/2014/main" id="{599955D2-5FB1-4620-95F4-E792E512A3EF}"/>
            </a:ext>
          </a:extLst>
        </xdr:cNvPr>
        <xdr:cNvCxnSpPr/>
      </xdr:nvCxnSpPr>
      <xdr:spPr>
        <a:xfrm flipH="1">
          <a:off x="4366705" y="2012464"/>
          <a:ext cx="1000338" cy="1161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539074</xdr:colOff>
      <xdr:row>12</xdr:row>
      <xdr:rowOff>154021</xdr:rowOff>
    </xdr:from>
    <xdr:to>
      <xdr:col>10</xdr:col>
      <xdr:colOff>132144</xdr:colOff>
      <xdr:row>12</xdr:row>
      <xdr:rowOff>155290</xdr:rowOff>
    </xdr:to>
    <xdr:cxnSp macro="">
      <xdr:nvCxnSpPr>
        <xdr:cNvPr id="39" name="Conector recto 38">
          <a:extLst>
            <a:ext uri="{FF2B5EF4-FFF2-40B4-BE49-F238E27FC236}">
              <a16:creationId xmlns:a16="http://schemas.microsoft.com/office/drawing/2014/main" id="{83949432-476D-43E8-A1C2-5D4CDE30D01D}"/>
            </a:ext>
          </a:extLst>
        </xdr:cNvPr>
        <xdr:cNvCxnSpPr/>
      </xdr:nvCxnSpPr>
      <xdr:spPr>
        <a:xfrm flipH="1" flipV="1">
          <a:off x="4091899" y="2392396"/>
          <a:ext cx="1269470" cy="1269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187256</xdr:colOff>
      <xdr:row>5</xdr:row>
      <xdr:rowOff>19049</xdr:rowOff>
    </xdr:from>
    <xdr:ext cx="119135" cy="140872"/>
    <xdr:sp macro="" textlink="">
      <xdr:nvSpPr>
        <xdr:cNvPr id="40" name="CuadroTexto 39">
          <a:extLst>
            <a:ext uri="{FF2B5EF4-FFF2-40B4-BE49-F238E27FC236}">
              <a16:creationId xmlns:a16="http://schemas.microsoft.com/office/drawing/2014/main" id="{1E027EE4-A52B-4DB6-90F6-0A651511D1C6}"/>
            </a:ext>
          </a:extLst>
        </xdr:cNvPr>
        <xdr:cNvSpPr txBox="1"/>
      </xdr:nvSpPr>
      <xdr:spPr>
        <a:xfrm>
          <a:off x="4902131" y="1123949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d1</a:t>
          </a:r>
        </a:p>
      </xdr:txBody>
    </xdr:sp>
    <xdr:clientData/>
  </xdr:oneCellAnchor>
  <xdr:oneCellAnchor>
    <xdr:from>
      <xdr:col>8</xdr:col>
      <xdr:colOff>513945</xdr:colOff>
      <xdr:row>6</xdr:row>
      <xdr:rowOff>61905</xdr:rowOff>
    </xdr:from>
    <xdr:ext cx="119135" cy="140872"/>
    <xdr:sp macro="" textlink="">
      <xdr:nvSpPr>
        <xdr:cNvPr id="41" name="CuadroTexto 40">
          <a:extLst>
            <a:ext uri="{FF2B5EF4-FFF2-40B4-BE49-F238E27FC236}">
              <a16:creationId xmlns:a16="http://schemas.microsoft.com/office/drawing/2014/main" id="{24B986D1-ABF5-47FB-862E-BA2A8DB78E67}"/>
            </a:ext>
          </a:extLst>
        </xdr:cNvPr>
        <xdr:cNvSpPr txBox="1"/>
      </xdr:nvSpPr>
      <xdr:spPr>
        <a:xfrm>
          <a:off x="4719984" y="1320208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d2</a:t>
          </a:r>
        </a:p>
      </xdr:txBody>
    </xdr:sp>
    <xdr:clientData/>
  </xdr:oneCellAnchor>
  <xdr:oneCellAnchor>
    <xdr:from>
      <xdr:col>8</xdr:col>
      <xdr:colOff>85117</xdr:colOff>
      <xdr:row>7</xdr:row>
      <xdr:rowOff>115517</xdr:rowOff>
    </xdr:from>
    <xdr:ext cx="119135" cy="140872"/>
    <xdr:sp macro="" textlink="">
      <xdr:nvSpPr>
        <xdr:cNvPr id="43" name="CuadroTexto 42">
          <a:extLst>
            <a:ext uri="{FF2B5EF4-FFF2-40B4-BE49-F238E27FC236}">
              <a16:creationId xmlns:a16="http://schemas.microsoft.com/office/drawing/2014/main" id="{B2B3A2E0-659C-4B77-AADA-9D42FED345F4}"/>
            </a:ext>
          </a:extLst>
        </xdr:cNvPr>
        <xdr:cNvSpPr txBox="1"/>
      </xdr:nvSpPr>
      <xdr:spPr>
        <a:xfrm>
          <a:off x="4291156" y="1534241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d3</a:t>
          </a:r>
        </a:p>
      </xdr:txBody>
    </xdr:sp>
    <xdr:clientData/>
  </xdr:oneCellAnchor>
  <xdr:oneCellAnchor>
    <xdr:from>
      <xdr:col>7</xdr:col>
      <xdr:colOff>517188</xdr:colOff>
      <xdr:row>8</xdr:row>
      <xdr:rowOff>93630</xdr:rowOff>
    </xdr:from>
    <xdr:ext cx="119135" cy="140872"/>
    <xdr:sp macro="" textlink="">
      <xdr:nvSpPr>
        <xdr:cNvPr id="44" name="CuadroTexto 43">
          <a:extLst>
            <a:ext uri="{FF2B5EF4-FFF2-40B4-BE49-F238E27FC236}">
              <a16:creationId xmlns:a16="http://schemas.microsoft.com/office/drawing/2014/main" id="{F53B4948-20C1-47BB-A9DD-E823DACC3B36}"/>
            </a:ext>
          </a:extLst>
        </xdr:cNvPr>
        <xdr:cNvSpPr txBox="1"/>
      </xdr:nvSpPr>
      <xdr:spPr>
        <a:xfrm>
          <a:off x="4076530" y="1672775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d4</a:t>
          </a:r>
        </a:p>
      </xdr:txBody>
    </xdr:sp>
    <xdr:clientData/>
  </xdr:oneCellAnchor>
  <xdr:twoCellAnchor>
    <xdr:from>
      <xdr:col>9</xdr:col>
      <xdr:colOff>513521</xdr:colOff>
      <xdr:row>23</xdr:row>
      <xdr:rowOff>0</xdr:rowOff>
    </xdr:from>
    <xdr:to>
      <xdr:col>12</xdr:col>
      <xdr:colOff>0</xdr:colOff>
      <xdr:row>32</xdr:row>
      <xdr:rowOff>0</xdr:rowOff>
    </xdr:to>
    <xdr:sp macro="" textlink="">
      <xdr:nvSpPr>
        <xdr:cNvPr id="45" name="Rectángulo 44">
          <a:extLst>
            <a:ext uri="{FF2B5EF4-FFF2-40B4-BE49-F238E27FC236}">
              <a16:creationId xmlns:a16="http://schemas.microsoft.com/office/drawing/2014/main" id="{B75CE279-62ED-493B-9374-8F502E470DE8}"/>
            </a:ext>
          </a:extLst>
        </xdr:cNvPr>
        <xdr:cNvSpPr/>
      </xdr:nvSpPr>
      <xdr:spPr>
        <a:xfrm>
          <a:off x="5228396" y="4019550"/>
          <a:ext cx="1029529" cy="1457325"/>
        </a:xfrm>
        <a:prstGeom prst="rect">
          <a:avLst/>
        </a:prstGeom>
        <a:noFill/>
        <a:ln w="28575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119268</xdr:colOff>
      <xdr:row>23</xdr:row>
      <xdr:rowOff>115955</xdr:rowOff>
    </xdr:from>
    <xdr:to>
      <xdr:col>11</xdr:col>
      <xdr:colOff>405847</xdr:colOff>
      <xdr:row>31</xdr:row>
      <xdr:rowOff>57977</xdr:rowOff>
    </xdr:to>
    <xdr:sp macro="" textlink="">
      <xdr:nvSpPr>
        <xdr:cNvPr id="46" name="Rectángulo 45">
          <a:extLst>
            <a:ext uri="{FF2B5EF4-FFF2-40B4-BE49-F238E27FC236}">
              <a16:creationId xmlns:a16="http://schemas.microsoft.com/office/drawing/2014/main" id="{710E0F25-18D9-486D-B36E-A3945125FC44}"/>
            </a:ext>
          </a:extLst>
        </xdr:cNvPr>
        <xdr:cNvSpPr/>
      </xdr:nvSpPr>
      <xdr:spPr>
        <a:xfrm>
          <a:off x="5348493" y="4135505"/>
          <a:ext cx="800929" cy="1237422"/>
        </a:xfrm>
        <a:prstGeom prst="rect">
          <a:avLst/>
        </a:prstGeom>
        <a:noFill/>
        <a:ln w="1905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23</xdr:row>
      <xdr:rowOff>136246</xdr:rowOff>
    </xdr:from>
    <xdr:to>
      <xdr:col>10</xdr:col>
      <xdr:colOff>235744</xdr:colOff>
      <xdr:row>24</xdr:row>
      <xdr:rowOff>73818</xdr:rowOff>
    </xdr:to>
    <xdr:sp macro="" textlink="">
      <xdr:nvSpPr>
        <xdr:cNvPr id="47" name="Diagrama de flujo: conector 46">
          <a:extLst>
            <a:ext uri="{FF2B5EF4-FFF2-40B4-BE49-F238E27FC236}">
              <a16:creationId xmlns:a16="http://schemas.microsoft.com/office/drawing/2014/main" id="{A21B21FE-ACE1-43F0-8CB3-3451453090F0}"/>
            </a:ext>
          </a:extLst>
        </xdr:cNvPr>
        <xdr:cNvSpPr/>
      </xdr:nvSpPr>
      <xdr:spPr>
        <a:xfrm>
          <a:off x="5367853" y="415579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350559</xdr:colOff>
      <xdr:row>23</xdr:row>
      <xdr:rowOff>136243</xdr:rowOff>
    </xdr:from>
    <xdr:to>
      <xdr:col>10</xdr:col>
      <xdr:colOff>447675</xdr:colOff>
      <xdr:row>24</xdr:row>
      <xdr:rowOff>73815</xdr:rowOff>
    </xdr:to>
    <xdr:sp macro="" textlink="">
      <xdr:nvSpPr>
        <xdr:cNvPr id="48" name="Diagrama de flujo: conector 47">
          <a:extLst>
            <a:ext uri="{FF2B5EF4-FFF2-40B4-BE49-F238E27FC236}">
              <a16:creationId xmlns:a16="http://schemas.microsoft.com/office/drawing/2014/main" id="{0251142C-D4BF-416E-9846-F33347CF4215}"/>
            </a:ext>
          </a:extLst>
        </xdr:cNvPr>
        <xdr:cNvSpPr/>
      </xdr:nvSpPr>
      <xdr:spPr>
        <a:xfrm>
          <a:off x="5579784" y="4155793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52901</xdr:colOff>
      <xdr:row>23</xdr:row>
      <xdr:rowOff>136244</xdr:rowOff>
    </xdr:from>
    <xdr:to>
      <xdr:col>11</xdr:col>
      <xdr:colOff>150017</xdr:colOff>
      <xdr:row>24</xdr:row>
      <xdr:rowOff>73816</xdr:rowOff>
    </xdr:to>
    <xdr:sp macro="" textlink="">
      <xdr:nvSpPr>
        <xdr:cNvPr id="49" name="Diagrama de flujo: conector 48">
          <a:extLst>
            <a:ext uri="{FF2B5EF4-FFF2-40B4-BE49-F238E27FC236}">
              <a16:creationId xmlns:a16="http://schemas.microsoft.com/office/drawing/2014/main" id="{96923625-828D-4D6A-9C36-3D7E47231F8E}"/>
            </a:ext>
          </a:extLst>
        </xdr:cNvPr>
        <xdr:cNvSpPr/>
      </xdr:nvSpPr>
      <xdr:spPr>
        <a:xfrm>
          <a:off x="5796476" y="415579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288646</xdr:colOff>
      <xdr:row>23</xdr:row>
      <xdr:rowOff>136246</xdr:rowOff>
    </xdr:from>
    <xdr:to>
      <xdr:col>11</xdr:col>
      <xdr:colOff>385762</xdr:colOff>
      <xdr:row>24</xdr:row>
      <xdr:rowOff>73818</xdr:rowOff>
    </xdr:to>
    <xdr:sp macro="" textlink="">
      <xdr:nvSpPr>
        <xdr:cNvPr id="50" name="Diagrama de flujo: conector 49">
          <a:extLst>
            <a:ext uri="{FF2B5EF4-FFF2-40B4-BE49-F238E27FC236}">
              <a16:creationId xmlns:a16="http://schemas.microsoft.com/office/drawing/2014/main" id="{BB2FEFA0-525F-463D-BE09-603094A75FDB}"/>
            </a:ext>
          </a:extLst>
        </xdr:cNvPr>
        <xdr:cNvSpPr/>
      </xdr:nvSpPr>
      <xdr:spPr>
        <a:xfrm>
          <a:off x="6032221" y="4155796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30</xdr:row>
      <xdr:rowOff>100539</xdr:rowOff>
    </xdr:from>
    <xdr:to>
      <xdr:col>10</xdr:col>
      <xdr:colOff>235744</xdr:colOff>
      <xdr:row>31</xdr:row>
      <xdr:rowOff>38111</xdr:rowOff>
    </xdr:to>
    <xdr:sp macro="" textlink="">
      <xdr:nvSpPr>
        <xdr:cNvPr id="51" name="Diagrama de flujo: conector 50">
          <a:extLst>
            <a:ext uri="{FF2B5EF4-FFF2-40B4-BE49-F238E27FC236}">
              <a16:creationId xmlns:a16="http://schemas.microsoft.com/office/drawing/2014/main" id="{096E2656-BB5C-450B-A552-81B589D6C1D4}"/>
            </a:ext>
          </a:extLst>
        </xdr:cNvPr>
        <xdr:cNvSpPr/>
      </xdr:nvSpPr>
      <xdr:spPr>
        <a:xfrm>
          <a:off x="5367853" y="5253564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30</xdr:row>
      <xdr:rowOff>100540</xdr:rowOff>
    </xdr:from>
    <xdr:to>
      <xdr:col>11</xdr:col>
      <xdr:colOff>385760</xdr:colOff>
      <xdr:row>31</xdr:row>
      <xdr:rowOff>38112</xdr:rowOff>
    </xdr:to>
    <xdr:sp macro="" textlink="">
      <xdr:nvSpPr>
        <xdr:cNvPr id="52" name="Diagrama de flujo: conector 51">
          <a:extLst>
            <a:ext uri="{FF2B5EF4-FFF2-40B4-BE49-F238E27FC236}">
              <a16:creationId xmlns:a16="http://schemas.microsoft.com/office/drawing/2014/main" id="{A5BDCA5E-B805-400E-B43D-0A1548F4D8E3}"/>
            </a:ext>
          </a:extLst>
        </xdr:cNvPr>
        <xdr:cNvSpPr/>
      </xdr:nvSpPr>
      <xdr:spPr>
        <a:xfrm>
          <a:off x="6032219" y="525356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55284</xdr:colOff>
      <xdr:row>30</xdr:row>
      <xdr:rowOff>100540</xdr:rowOff>
    </xdr:from>
    <xdr:to>
      <xdr:col>11</xdr:col>
      <xdr:colOff>152400</xdr:colOff>
      <xdr:row>31</xdr:row>
      <xdr:rowOff>38112</xdr:rowOff>
    </xdr:to>
    <xdr:sp macro="" textlink="">
      <xdr:nvSpPr>
        <xdr:cNvPr id="53" name="Diagrama de flujo: conector 52">
          <a:extLst>
            <a:ext uri="{FF2B5EF4-FFF2-40B4-BE49-F238E27FC236}">
              <a16:creationId xmlns:a16="http://schemas.microsoft.com/office/drawing/2014/main" id="{AF20D925-16A3-45CB-BBD5-85031A7B1822}"/>
            </a:ext>
          </a:extLst>
        </xdr:cNvPr>
        <xdr:cNvSpPr/>
      </xdr:nvSpPr>
      <xdr:spPr>
        <a:xfrm>
          <a:off x="5798859" y="525356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360086</xdr:colOff>
      <xdr:row>30</xdr:row>
      <xdr:rowOff>100535</xdr:rowOff>
    </xdr:from>
    <xdr:to>
      <xdr:col>10</xdr:col>
      <xdr:colOff>457202</xdr:colOff>
      <xdr:row>31</xdr:row>
      <xdr:rowOff>38107</xdr:rowOff>
    </xdr:to>
    <xdr:sp macro="" textlink="">
      <xdr:nvSpPr>
        <xdr:cNvPr id="54" name="Diagrama de flujo: conector 53">
          <a:extLst>
            <a:ext uri="{FF2B5EF4-FFF2-40B4-BE49-F238E27FC236}">
              <a16:creationId xmlns:a16="http://schemas.microsoft.com/office/drawing/2014/main" id="{623F6341-A14F-4EBD-B46D-8458E7281C44}"/>
            </a:ext>
          </a:extLst>
        </xdr:cNvPr>
        <xdr:cNvSpPr/>
      </xdr:nvSpPr>
      <xdr:spPr>
        <a:xfrm>
          <a:off x="5589311" y="525356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138626</xdr:colOff>
      <xdr:row>25</xdr:row>
      <xdr:rowOff>146959</xdr:rowOff>
    </xdr:from>
    <xdr:to>
      <xdr:col>10</xdr:col>
      <xdr:colOff>235742</xdr:colOff>
      <xdr:row>26</xdr:row>
      <xdr:rowOff>84531</xdr:rowOff>
    </xdr:to>
    <xdr:sp macro="" textlink="">
      <xdr:nvSpPr>
        <xdr:cNvPr id="55" name="Diagrama de flujo: conector 54">
          <a:extLst>
            <a:ext uri="{FF2B5EF4-FFF2-40B4-BE49-F238E27FC236}">
              <a16:creationId xmlns:a16="http://schemas.microsoft.com/office/drawing/2014/main" id="{EB713628-5AC9-4720-A9D2-1D20288BD648}"/>
            </a:ext>
          </a:extLst>
        </xdr:cNvPr>
        <xdr:cNvSpPr/>
      </xdr:nvSpPr>
      <xdr:spPr>
        <a:xfrm>
          <a:off x="5359517" y="4462975"/>
          <a:ext cx="97116" cy="98306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28</xdr:row>
      <xdr:rowOff>89818</xdr:rowOff>
    </xdr:from>
    <xdr:to>
      <xdr:col>10</xdr:col>
      <xdr:colOff>235744</xdr:colOff>
      <xdr:row>29</xdr:row>
      <xdr:rowOff>27390</xdr:rowOff>
    </xdr:to>
    <xdr:sp macro="" textlink="">
      <xdr:nvSpPr>
        <xdr:cNvPr id="56" name="Diagrama de flujo: conector 55">
          <a:extLst>
            <a:ext uri="{FF2B5EF4-FFF2-40B4-BE49-F238E27FC236}">
              <a16:creationId xmlns:a16="http://schemas.microsoft.com/office/drawing/2014/main" id="{CD77C918-606B-4E61-8F3D-39D354FF16AE}"/>
            </a:ext>
          </a:extLst>
        </xdr:cNvPr>
        <xdr:cNvSpPr/>
      </xdr:nvSpPr>
      <xdr:spPr>
        <a:xfrm>
          <a:off x="5359519" y="4888037"/>
          <a:ext cx="97116" cy="98306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25</xdr:row>
      <xdr:rowOff>146959</xdr:rowOff>
    </xdr:from>
    <xdr:to>
      <xdr:col>11</xdr:col>
      <xdr:colOff>385760</xdr:colOff>
      <xdr:row>26</xdr:row>
      <xdr:rowOff>84531</xdr:rowOff>
    </xdr:to>
    <xdr:sp macro="" textlink="">
      <xdr:nvSpPr>
        <xdr:cNvPr id="58" name="Diagrama de flujo: conector 57">
          <a:extLst>
            <a:ext uri="{FF2B5EF4-FFF2-40B4-BE49-F238E27FC236}">
              <a16:creationId xmlns:a16="http://schemas.microsoft.com/office/drawing/2014/main" id="{10E27059-1226-41A0-B6C9-361D206F9E17}"/>
            </a:ext>
          </a:extLst>
        </xdr:cNvPr>
        <xdr:cNvSpPr/>
      </xdr:nvSpPr>
      <xdr:spPr>
        <a:xfrm>
          <a:off x="6021503" y="4462975"/>
          <a:ext cx="97116" cy="98306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288647</xdr:colOff>
      <xdr:row>28</xdr:row>
      <xdr:rowOff>83865</xdr:rowOff>
    </xdr:from>
    <xdr:to>
      <xdr:col>11</xdr:col>
      <xdr:colOff>385763</xdr:colOff>
      <xdr:row>29</xdr:row>
      <xdr:rowOff>21437</xdr:rowOff>
    </xdr:to>
    <xdr:sp macro="" textlink="">
      <xdr:nvSpPr>
        <xdr:cNvPr id="59" name="Diagrama de flujo: conector 58">
          <a:extLst>
            <a:ext uri="{FF2B5EF4-FFF2-40B4-BE49-F238E27FC236}">
              <a16:creationId xmlns:a16="http://schemas.microsoft.com/office/drawing/2014/main" id="{919CC88B-1031-4B84-A305-5835B59E62E1}"/>
            </a:ext>
          </a:extLst>
        </xdr:cNvPr>
        <xdr:cNvSpPr/>
      </xdr:nvSpPr>
      <xdr:spPr>
        <a:xfrm>
          <a:off x="6021506" y="4882084"/>
          <a:ext cx="97116" cy="98306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61912</xdr:colOff>
      <xdr:row>23</xdr:row>
      <xdr:rowOff>97632</xdr:rowOff>
    </xdr:from>
    <xdr:to>
      <xdr:col>11</xdr:col>
      <xdr:colOff>457199</xdr:colOff>
      <xdr:row>24</xdr:row>
      <xdr:rowOff>114300</xdr:rowOff>
    </xdr:to>
    <xdr:sp macro="" textlink="">
      <xdr:nvSpPr>
        <xdr:cNvPr id="61" name="Elipse 60">
          <a:extLst>
            <a:ext uri="{FF2B5EF4-FFF2-40B4-BE49-F238E27FC236}">
              <a16:creationId xmlns:a16="http://schemas.microsoft.com/office/drawing/2014/main" id="{FC11ABB3-4FED-4568-8F9B-7491715B32E0}"/>
            </a:ext>
          </a:extLst>
        </xdr:cNvPr>
        <xdr:cNvSpPr/>
      </xdr:nvSpPr>
      <xdr:spPr>
        <a:xfrm>
          <a:off x="5291137" y="4117182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64290</xdr:colOff>
      <xdr:row>25</xdr:row>
      <xdr:rowOff>105965</xdr:rowOff>
    </xdr:from>
    <xdr:to>
      <xdr:col>11</xdr:col>
      <xdr:colOff>459577</xdr:colOff>
      <xdr:row>26</xdr:row>
      <xdr:rowOff>122633</xdr:rowOff>
    </xdr:to>
    <xdr:sp macro="" textlink="">
      <xdr:nvSpPr>
        <xdr:cNvPr id="62" name="Elipse 61">
          <a:extLst>
            <a:ext uri="{FF2B5EF4-FFF2-40B4-BE49-F238E27FC236}">
              <a16:creationId xmlns:a16="http://schemas.microsoft.com/office/drawing/2014/main" id="{40D1D9ED-1A66-4824-83ED-CA5750ABD6A1}"/>
            </a:ext>
          </a:extLst>
        </xdr:cNvPr>
        <xdr:cNvSpPr/>
      </xdr:nvSpPr>
      <xdr:spPr>
        <a:xfrm>
          <a:off x="5285181" y="4421981"/>
          <a:ext cx="907255" cy="177402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64288</xdr:colOff>
      <xdr:row>28</xdr:row>
      <xdr:rowOff>45244</xdr:rowOff>
    </xdr:from>
    <xdr:to>
      <xdr:col>11</xdr:col>
      <xdr:colOff>459575</xdr:colOff>
      <xdr:row>29</xdr:row>
      <xdr:rowOff>61912</xdr:rowOff>
    </xdr:to>
    <xdr:sp macro="" textlink="">
      <xdr:nvSpPr>
        <xdr:cNvPr id="64" name="Elipse 63">
          <a:extLst>
            <a:ext uri="{FF2B5EF4-FFF2-40B4-BE49-F238E27FC236}">
              <a16:creationId xmlns:a16="http://schemas.microsoft.com/office/drawing/2014/main" id="{F8C7FB49-06C3-483B-8041-C662F0148254}"/>
            </a:ext>
          </a:extLst>
        </xdr:cNvPr>
        <xdr:cNvSpPr/>
      </xdr:nvSpPr>
      <xdr:spPr>
        <a:xfrm>
          <a:off x="5285179" y="4843463"/>
          <a:ext cx="907255" cy="177402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61905</xdr:colOff>
      <xdr:row>30</xdr:row>
      <xdr:rowOff>59528</xdr:rowOff>
    </xdr:from>
    <xdr:to>
      <xdr:col>11</xdr:col>
      <xdr:colOff>457192</xdr:colOff>
      <xdr:row>31</xdr:row>
      <xdr:rowOff>76196</xdr:rowOff>
    </xdr:to>
    <xdr:sp macro="" textlink="">
      <xdr:nvSpPr>
        <xdr:cNvPr id="65" name="Elipse 64">
          <a:extLst>
            <a:ext uri="{FF2B5EF4-FFF2-40B4-BE49-F238E27FC236}">
              <a16:creationId xmlns:a16="http://schemas.microsoft.com/office/drawing/2014/main" id="{C0236FBD-C3E0-41FA-A527-E220006C7F26}"/>
            </a:ext>
          </a:extLst>
        </xdr:cNvPr>
        <xdr:cNvSpPr/>
      </xdr:nvSpPr>
      <xdr:spPr>
        <a:xfrm>
          <a:off x="5291130" y="5212553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457200</xdr:colOff>
      <xdr:row>23</xdr:row>
      <xdr:rowOff>83343</xdr:rowOff>
    </xdr:from>
    <xdr:to>
      <xdr:col>12</xdr:col>
      <xdr:colOff>428626</xdr:colOff>
      <xdr:row>24</xdr:row>
      <xdr:rowOff>25598</xdr:rowOff>
    </xdr:to>
    <xdr:cxnSp macro="">
      <xdr:nvCxnSpPr>
        <xdr:cNvPr id="66" name="Conector: curvado 65">
          <a:extLst>
            <a:ext uri="{FF2B5EF4-FFF2-40B4-BE49-F238E27FC236}">
              <a16:creationId xmlns:a16="http://schemas.microsoft.com/office/drawing/2014/main" id="{709D5329-2747-4868-A98C-54078DEF9FEF}"/>
            </a:ext>
          </a:extLst>
        </xdr:cNvPr>
        <xdr:cNvCxnSpPr>
          <a:endCxn id="61" idx="6"/>
        </xdr:cNvCxnSpPr>
      </xdr:nvCxnSpPr>
      <xdr:spPr>
        <a:xfrm rot="10800000" flipV="1">
          <a:off x="6190059" y="4077890"/>
          <a:ext cx="483395" cy="102989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459577</xdr:colOff>
      <xdr:row>25</xdr:row>
      <xdr:rowOff>89296</xdr:rowOff>
    </xdr:from>
    <xdr:to>
      <xdr:col>12</xdr:col>
      <xdr:colOff>446484</xdr:colOff>
      <xdr:row>26</xdr:row>
      <xdr:rowOff>33932</xdr:rowOff>
    </xdr:to>
    <xdr:cxnSp macro="">
      <xdr:nvCxnSpPr>
        <xdr:cNvPr id="67" name="Conector: curvado 66">
          <a:extLst>
            <a:ext uri="{FF2B5EF4-FFF2-40B4-BE49-F238E27FC236}">
              <a16:creationId xmlns:a16="http://schemas.microsoft.com/office/drawing/2014/main" id="{98520644-1816-484F-934B-04B618B489B7}"/>
            </a:ext>
          </a:extLst>
        </xdr:cNvPr>
        <xdr:cNvCxnSpPr>
          <a:endCxn id="62" idx="6"/>
        </xdr:cNvCxnSpPr>
      </xdr:nvCxnSpPr>
      <xdr:spPr>
        <a:xfrm rot="10800000" flipV="1">
          <a:off x="6192436" y="4405312"/>
          <a:ext cx="498876" cy="105370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459576</xdr:colOff>
      <xdr:row>28</xdr:row>
      <xdr:rowOff>133946</xdr:rowOff>
    </xdr:from>
    <xdr:to>
      <xdr:col>12</xdr:col>
      <xdr:colOff>470298</xdr:colOff>
      <xdr:row>29</xdr:row>
      <xdr:rowOff>107157</xdr:rowOff>
    </xdr:to>
    <xdr:cxnSp macro="">
      <xdr:nvCxnSpPr>
        <xdr:cNvPr id="69" name="Conector: curvado 68">
          <a:extLst>
            <a:ext uri="{FF2B5EF4-FFF2-40B4-BE49-F238E27FC236}">
              <a16:creationId xmlns:a16="http://schemas.microsoft.com/office/drawing/2014/main" id="{6567E01E-7863-4AC9-870F-B1A76FD4D35B}"/>
            </a:ext>
          </a:extLst>
        </xdr:cNvPr>
        <xdr:cNvCxnSpPr>
          <a:endCxn id="64" idx="6"/>
        </xdr:cNvCxnSpPr>
      </xdr:nvCxnSpPr>
      <xdr:spPr>
        <a:xfrm rot="10800000">
          <a:off x="6192435" y="4932165"/>
          <a:ext cx="522691" cy="133945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457192</xdr:colOff>
      <xdr:row>30</xdr:row>
      <xdr:rowOff>148230</xdr:rowOff>
    </xdr:from>
    <xdr:to>
      <xdr:col>12</xdr:col>
      <xdr:colOff>440531</xdr:colOff>
      <xdr:row>31</xdr:row>
      <xdr:rowOff>95251</xdr:rowOff>
    </xdr:to>
    <xdr:cxnSp macro="">
      <xdr:nvCxnSpPr>
        <xdr:cNvPr id="70" name="Conector: curvado 69">
          <a:extLst>
            <a:ext uri="{FF2B5EF4-FFF2-40B4-BE49-F238E27FC236}">
              <a16:creationId xmlns:a16="http://schemas.microsoft.com/office/drawing/2014/main" id="{B9DD1F13-D5D4-41CF-A6AE-8B95E0C3C98A}"/>
            </a:ext>
          </a:extLst>
        </xdr:cNvPr>
        <xdr:cNvCxnSpPr>
          <a:cxnSpLocks/>
          <a:endCxn id="65" idx="6"/>
        </xdr:cNvCxnSpPr>
      </xdr:nvCxnSpPr>
      <xdr:spPr>
        <a:xfrm rot="10800000">
          <a:off x="6190051" y="5267918"/>
          <a:ext cx="495308" cy="107755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85725</xdr:colOff>
      <xdr:row>27</xdr:row>
      <xdr:rowOff>86967</xdr:rowOff>
    </xdr:from>
    <xdr:to>
      <xdr:col>10</xdr:col>
      <xdr:colOff>119268</xdr:colOff>
      <xdr:row>29</xdr:row>
      <xdr:rowOff>85725</xdr:rowOff>
    </xdr:to>
    <xdr:cxnSp macro="">
      <xdr:nvCxnSpPr>
        <xdr:cNvPr id="71" name="Conector: curvado 70">
          <a:extLst>
            <a:ext uri="{FF2B5EF4-FFF2-40B4-BE49-F238E27FC236}">
              <a16:creationId xmlns:a16="http://schemas.microsoft.com/office/drawing/2014/main" id="{513CC351-E173-4C68-A58B-BE391040D97A}"/>
            </a:ext>
          </a:extLst>
        </xdr:cNvPr>
        <xdr:cNvCxnSpPr>
          <a:endCxn id="46" idx="1"/>
        </xdr:cNvCxnSpPr>
      </xdr:nvCxnSpPr>
      <xdr:spPr>
        <a:xfrm flipV="1">
          <a:off x="4794647" y="4724451"/>
          <a:ext cx="545512" cy="320227"/>
        </a:xfrm>
        <a:prstGeom prst="curvedConnector3">
          <a:avLst/>
        </a:prstGeom>
        <a:ln>
          <a:solidFill>
            <a:srgbClr val="7030A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171450</xdr:colOff>
      <xdr:row>37</xdr:row>
      <xdr:rowOff>4762</xdr:rowOff>
    </xdr:from>
    <xdr:ext cx="3355213" cy="4142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CuadroTexto 71">
              <a:extLst>
                <a:ext uri="{FF2B5EF4-FFF2-40B4-BE49-F238E27FC236}">
                  <a16:creationId xmlns:a16="http://schemas.microsoft.com/office/drawing/2014/main" id="{1AAB078C-6CE8-4660-B613-78EC6DDEB801}"/>
                </a:ext>
              </a:extLst>
            </xdr:cNvPr>
            <xdr:cNvSpPr txBox="1"/>
          </xdr:nvSpPr>
          <xdr:spPr>
            <a:xfrm>
              <a:off x="373856" y="6821090"/>
              <a:ext cx="3355213" cy="4142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ES" sz="1050" b="0" i="0">
                        <a:latin typeface="Cambria Math" panose="02040503050406030204" pitchFamily="18" charset="0"/>
                      </a:rPr>
                      <m:t>yo</m:t>
                    </m:r>
                    <m:r>
                      <a:rPr lang="es-ES" sz="1050" b="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PE" sz="105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</a:rPr>
                          <m:t>1∙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2∙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2+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3∙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3+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4∙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4+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b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h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∙</m:t>
                        </m:r>
                        <m:f>
                          <m:fPr>
                            <m:ctrlPr>
                              <a:rPr lang="es-ES" sz="105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m:rPr>
                                <m:sty m:val="p"/>
                              </m:rPr>
                              <a:rPr lang="es-ES" sz="1050" b="0" i="0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h</m:t>
                            </m:r>
                          </m:num>
                          <m:den>
                            <m:r>
                              <a:rPr lang="es-ES" sz="1050" b="0" i="0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num>
                      <m:den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3+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4+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b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</m:den>
                    </m:f>
                  </m:oMath>
                </m:oMathPara>
              </a14:m>
              <a:endParaRPr lang="es-PE" sz="1050" i="0"/>
            </a:p>
          </xdr:txBody>
        </xdr:sp>
      </mc:Choice>
      <mc:Fallback xmlns="">
        <xdr:sp macro="" textlink="">
          <xdr:nvSpPr>
            <xdr:cNvPr id="72" name="CuadroTexto 71">
              <a:extLst>
                <a:ext uri="{FF2B5EF4-FFF2-40B4-BE49-F238E27FC236}">
                  <a16:creationId xmlns:a16="http://schemas.microsoft.com/office/drawing/2014/main" id="{1AAB078C-6CE8-4660-B613-78EC6DDEB801}"/>
                </a:ext>
              </a:extLst>
            </xdr:cNvPr>
            <xdr:cNvSpPr txBox="1"/>
          </xdr:nvSpPr>
          <xdr:spPr>
            <a:xfrm>
              <a:off x="373856" y="6821090"/>
              <a:ext cx="3355213" cy="4142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s-ES" sz="1050" b="0" i="0">
                  <a:latin typeface="Cambria Math" panose="02040503050406030204" pitchFamily="18" charset="0"/>
                </a:rPr>
                <a:t>yo=</a:t>
              </a:r>
              <a:r>
                <a:rPr lang="es-PE" sz="1050" i="0">
                  <a:latin typeface="Cambria Math" panose="02040503050406030204" pitchFamily="18" charset="0"/>
                </a:rPr>
                <a:t>(</a:t>
              </a:r>
              <a:r>
                <a:rPr lang="es-ES" sz="1050" b="0" i="0">
                  <a:latin typeface="Cambria Math" panose="02040503050406030204" pitchFamily="18" charset="0"/>
                </a:rPr>
                <a:t>As1∙</a:t>
              </a:r>
              <a:r>
                <a:rPr lang="es-ES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d1+As2∙d2+As3∙d3+As4∙d4+b∙h</a:t>
              </a:r>
              <a:r>
                <a:rPr lang="es-ES" sz="105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∙</a:t>
              </a:r>
              <a:r>
                <a:rPr lang="es-ES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h/2</a:t>
              </a:r>
              <a:r>
                <a:rPr lang="es-PE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)/(</a:t>
              </a:r>
              <a:r>
                <a:rPr lang="es-ES" sz="105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As1+As2+As3+As4+b∙h</a:t>
              </a:r>
              <a:r>
                <a:rPr lang="es-PE" sz="105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</a:t>
              </a:r>
              <a:endParaRPr lang="es-PE" sz="1050" i="0"/>
            </a:p>
          </xdr:txBody>
        </xdr:sp>
      </mc:Fallback>
    </mc:AlternateContent>
    <xdr:clientData/>
  </xdr:oneCellAnchor>
  <xdr:twoCellAnchor editAs="oneCell">
    <xdr:from>
      <xdr:col>4</xdr:col>
      <xdr:colOff>91440</xdr:colOff>
      <xdr:row>121</xdr:row>
      <xdr:rowOff>129540</xdr:rowOff>
    </xdr:from>
    <xdr:to>
      <xdr:col>13</xdr:col>
      <xdr:colOff>499794</xdr:colOff>
      <xdr:row>152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AF697B-AE88-485A-82D6-499A376CB5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4520" y="21785580"/>
          <a:ext cx="5551854" cy="5341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617220</xdr:colOff>
      <xdr:row>20</xdr:row>
      <xdr:rowOff>91440</xdr:rowOff>
    </xdr:from>
    <xdr:to>
      <xdr:col>24</xdr:col>
      <xdr:colOff>538281</xdr:colOff>
      <xdr:row>29</xdr:row>
      <xdr:rowOff>76200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24B78F-045D-44C8-9B26-C1CCA76F05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36" r="10019" b="35387"/>
        <a:stretch/>
      </xdr:blipFill>
      <xdr:spPr bwMode="auto">
        <a:xfrm>
          <a:off x="12039600" y="3886200"/>
          <a:ext cx="200132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55186</xdr:colOff>
      <xdr:row>87</xdr:row>
      <xdr:rowOff>27693</xdr:rowOff>
    </xdr:from>
    <xdr:to>
      <xdr:col>13</xdr:col>
      <xdr:colOff>209550</xdr:colOff>
      <xdr:row>122</xdr:row>
      <xdr:rowOff>76200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513521</xdr:colOff>
      <xdr:row>5</xdr:row>
      <xdr:rowOff>0</xdr:rowOff>
    </xdr:from>
    <xdr:to>
      <xdr:col>12</xdr:col>
      <xdr:colOff>0</xdr:colOff>
      <xdr:row>14</xdr:row>
      <xdr:rowOff>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4C3E2328-B8D6-4FB2-A30B-9CE208F4A411}"/>
            </a:ext>
          </a:extLst>
        </xdr:cNvPr>
        <xdr:cNvSpPr/>
      </xdr:nvSpPr>
      <xdr:spPr>
        <a:xfrm>
          <a:off x="5218043" y="496957"/>
          <a:ext cx="1027044" cy="1490869"/>
        </a:xfrm>
        <a:prstGeom prst="rect">
          <a:avLst/>
        </a:prstGeom>
        <a:noFill/>
        <a:ln w="28575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119268</xdr:colOff>
      <xdr:row>5</xdr:row>
      <xdr:rowOff>115955</xdr:rowOff>
    </xdr:from>
    <xdr:to>
      <xdr:col>11</xdr:col>
      <xdr:colOff>405847</xdr:colOff>
      <xdr:row>13</xdr:row>
      <xdr:rowOff>57977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515948A1-3569-433C-B8AB-19499FA45D04}"/>
            </a:ext>
          </a:extLst>
        </xdr:cNvPr>
        <xdr:cNvSpPr/>
      </xdr:nvSpPr>
      <xdr:spPr>
        <a:xfrm>
          <a:off x="5337311" y="612912"/>
          <a:ext cx="800101" cy="1267239"/>
        </a:xfrm>
        <a:prstGeom prst="rect">
          <a:avLst/>
        </a:prstGeom>
        <a:noFill/>
        <a:ln w="1905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5</xdr:row>
      <xdr:rowOff>136246</xdr:rowOff>
    </xdr:from>
    <xdr:to>
      <xdr:col>10</xdr:col>
      <xdr:colOff>235744</xdr:colOff>
      <xdr:row>6</xdr:row>
      <xdr:rowOff>73818</xdr:rowOff>
    </xdr:to>
    <xdr:sp macro="" textlink="">
      <xdr:nvSpPr>
        <xdr:cNvPr id="6" name="Diagrama de flujo: conector 5">
          <a:extLst>
            <a:ext uri="{FF2B5EF4-FFF2-40B4-BE49-F238E27FC236}">
              <a16:creationId xmlns:a16="http://schemas.microsoft.com/office/drawing/2014/main" id="{B6F24890-AA10-4E85-B2A4-C72B2EAD024E}"/>
            </a:ext>
          </a:extLst>
        </xdr:cNvPr>
        <xdr:cNvSpPr/>
      </xdr:nvSpPr>
      <xdr:spPr>
        <a:xfrm>
          <a:off x="5367853" y="622021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350559</xdr:colOff>
      <xdr:row>5</xdr:row>
      <xdr:rowOff>136243</xdr:rowOff>
    </xdr:from>
    <xdr:to>
      <xdr:col>10</xdr:col>
      <xdr:colOff>447675</xdr:colOff>
      <xdr:row>6</xdr:row>
      <xdr:rowOff>73815</xdr:rowOff>
    </xdr:to>
    <xdr:sp macro="" textlink="">
      <xdr:nvSpPr>
        <xdr:cNvPr id="7" name="Diagrama de flujo: conector 6">
          <a:extLst>
            <a:ext uri="{FF2B5EF4-FFF2-40B4-BE49-F238E27FC236}">
              <a16:creationId xmlns:a16="http://schemas.microsoft.com/office/drawing/2014/main" id="{C787E9B4-2294-4DBA-88A0-AEAF4B5792E7}"/>
            </a:ext>
          </a:extLst>
        </xdr:cNvPr>
        <xdr:cNvSpPr/>
      </xdr:nvSpPr>
      <xdr:spPr>
        <a:xfrm>
          <a:off x="5579784" y="622018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52901</xdr:colOff>
      <xdr:row>5</xdr:row>
      <xdr:rowOff>136244</xdr:rowOff>
    </xdr:from>
    <xdr:to>
      <xdr:col>11</xdr:col>
      <xdr:colOff>150017</xdr:colOff>
      <xdr:row>6</xdr:row>
      <xdr:rowOff>73816</xdr:rowOff>
    </xdr:to>
    <xdr:sp macro="" textlink="">
      <xdr:nvSpPr>
        <xdr:cNvPr id="8" name="Diagrama de flujo: conector 7">
          <a:extLst>
            <a:ext uri="{FF2B5EF4-FFF2-40B4-BE49-F238E27FC236}">
              <a16:creationId xmlns:a16="http://schemas.microsoft.com/office/drawing/2014/main" id="{3243C7F5-8D1C-4721-885F-4F6ACF80D780}"/>
            </a:ext>
          </a:extLst>
        </xdr:cNvPr>
        <xdr:cNvSpPr/>
      </xdr:nvSpPr>
      <xdr:spPr>
        <a:xfrm>
          <a:off x="5796476" y="622019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288646</xdr:colOff>
      <xdr:row>5</xdr:row>
      <xdr:rowOff>136246</xdr:rowOff>
    </xdr:from>
    <xdr:to>
      <xdr:col>11</xdr:col>
      <xdr:colOff>385762</xdr:colOff>
      <xdr:row>6</xdr:row>
      <xdr:rowOff>73818</xdr:rowOff>
    </xdr:to>
    <xdr:sp macro="" textlink="">
      <xdr:nvSpPr>
        <xdr:cNvPr id="9" name="Diagrama de flujo: conector 8">
          <a:extLst>
            <a:ext uri="{FF2B5EF4-FFF2-40B4-BE49-F238E27FC236}">
              <a16:creationId xmlns:a16="http://schemas.microsoft.com/office/drawing/2014/main" id="{FE2FBEE2-731C-4A4E-917E-479577FB5AEB}"/>
            </a:ext>
          </a:extLst>
        </xdr:cNvPr>
        <xdr:cNvSpPr/>
      </xdr:nvSpPr>
      <xdr:spPr>
        <a:xfrm>
          <a:off x="6032221" y="622021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12</xdr:row>
      <xdr:rowOff>100539</xdr:rowOff>
    </xdr:from>
    <xdr:to>
      <xdr:col>10</xdr:col>
      <xdr:colOff>235744</xdr:colOff>
      <xdr:row>13</xdr:row>
      <xdr:rowOff>38111</xdr:rowOff>
    </xdr:to>
    <xdr:sp macro="" textlink="">
      <xdr:nvSpPr>
        <xdr:cNvPr id="10" name="Diagrama de flujo: conector 9">
          <a:extLst>
            <a:ext uri="{FF2B5EF4-FFF2-40B4-BE49-F238E27FC236}">
              <a16:creationId xmlns:a16="http://schemas.microsoft.com/office/drawing/2014/main" id="{B6D08779-45EF-4439-8911-52C62BD93739}"/>
            </a:ext>
          </a:extLst>
        </xdr:cNvPr>
        <xdr:cNvSpPr/>
      </xdr:nvSpPr>
      <xdr:spPr>
        <a:xfrm>
          <a:off x="5367853" y="1719789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12</xdr:row>
      <xdr:rowOff>100540</xdr:rowOff>
    </xdr:from>
    <xdr:to>
      <xdr:col>11</xdr:col>
      <xdr:colOff>385760</xdr:colOff>
      <xdr:row>13</xdr:row>
      <xdr:rowOff>38112</xdr:rowOff>
    </xdr:to>
    <xdr:sp macro="" textlink="">
      <xdr:nvSpPr>
        <xdr:cNvPr id="12" name="Diagrama de flujo: conector 11">
          <a:extLst>
            <a:ext uri="{FF2B5EF4-FFF2-40B4-BE49-F238E27FC236}">
              <a16:creationId xmlns:a16="http://schemas.microsoft.com/office/drawing/2014/main" id="{BF21CE6C-564B-4807-B137-689C7513BE14}"/>
            </a:ext>
          </a:extLst>
        </xdr:cNvPr>
        <xdr:cNvSpPr/>
      </xdr:nvSpPr>
      <xdr:spPr>
        <a:xfrm>
          <a:off x="6032219" y="171979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55284</xdr:colOff>
      <xdr:row>12</xdr:row>
      <xdr:rowOff>100540</xdr:rowOff>
    </xdr:from>
    <xdr:to>
      <xdr:col>11</xdr:col>
      <xdr:colOff>152400</xdr:colOff>
      <xdr:row>13</xdr:row>
      <xdr:rowOff>38112</xdr:rowOff>
    </xdr:to>
    <xdr:sp macro="" textlink="">
      <xdr:nvSpPr>
        <xdr:cNvPr id="13" name="Diagrama de flujo: conector 12">
          <a:extLst>
            <a:ext uri="{FF2B5EF4-FFF2-40B4-BE49-F238E27FC236}">
              <a16:creationId xmlns:a16="http://schemas.microsoft.com/office/drawing/2014/main" id="{04F7F0DF-9F72-481D-86BC-39183A263D97}"/>
            </a:ext>
          </a:extLst>
        </xdr:cNvPr>
        <xdr:cNvSpPr/>
      </xdr:nvSpPr>
      <xdr:spPr>
        <a:xfrm>
          <a:off x="5798859" y="171979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360086</xdr:colOff>
      <xdr:row>12</xdr:row>
      <xdr:rowOff>100535</xdr:rowOff>
    </xdr:from>
    <xdr:to>
      <xdr:col>10</xdr:col>
      <xdr:colOff>457202</xdr:colOff>
      <xdr:row>13</xdr:row>
      <xdr:rowOff>38107</xdr:rowOff>
    </xdr:to>
    <xdr:sp macro="" textlink="">
      <xdr:nvSpPr>
        <xdr:cNvPr id="14" name="Diagrama de flujo: conector 13">
          <a:extLst>
            <a:ext uri="{FF2B5EF4-FFF2-40B4-BE49-F238E27FC236}">
              <a16:creationId xmlns:a16="http://schemas.microsoft.com/office/drawing/2014/main" id="{88B9FD6C-D583-4A42-83B6-C0BEDE69BF10}"/>
            </a:ext>
          </a:extLst>
        </xdr:cNvPr>
        <xdr:cNvSpPr/>
      </xdr:nvSpPr>
      <xdr:spPr>
        <a:xfrm>
          <a:off x="5589311" y="171978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138626</xdr:colOff>
      <xdr:row>7</xdr:row>
      <xdr:rowOff>81476</xdr:rowOff>
    </xdr:from>
    <xdr:to>
      <xdr:col>10</xdr:col>
      <xdr:colOff>235742</xdr:colOff>
      <xdr:row>8</xdr:row>
      <xdr:rowOff>19048</xdr:rowOff>
    </xdr:to>
    <xdr:sp macro="" textlink="">
      <xdr:nvSpPr>
        <xdr:cNvPr id="15" name="Diagrama de flujo: conector 14">
          <a:extLst>
            <a:ext uri="{FF2B5EF4-FFF2-40B4-BE49-F238E27FC236}">
              <a16:creationId xmlns:a16="http://schemas.microsoft.com/office/drawing/2014/main" id="{F5D35749-AD11-4C56-86CA-1479A5E5E124}"/>
            </a:ext>
          </a:extLst>
        </xdr:cNvPr>
        <xdr:cNvSpPr/>
      </xdr:nvSpPr>
      <xdr:spPr>
        <a:xfrm>
          <a:off x="5367851" y="891101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10</xdr:row>
      <xdr:rowOff>143395</xdr:rowOff>
    </xdr:from>
    <xdr:to>
      <xdr:col>10</xdr:col>
      <xdr:colOff>235744</xdr:colOff>
      <xdr:row>11</xdr:row>
      <xdr:rowOff>80967</xdr:rowOff>
    </xdr:to>
    <xdr:sp macro="" textlink="">
      <xdr:nvSpPr>
        <xdr:cNvPr id="16" name="Diagrama de flujo: conector 15">
          <a:extLst>
            <a:ext uri="{FF2B5EF4-FFF2-40B4-BE49-F238E27FC236}">
              <a16:creationId xmlns:a16="http://schemas.microsoft.com/office/drawing/2014/main" id="{E2530CE2-3A38-440D-9718-4268782D0A6A}"/>
            </a:ext>
          </a:extLst>
        </xdr:cNvPr>
        <xdr:cNvSpPr/>
      </xdr:nvSpPr>
      <xdr:spPr>
        <a:xfrm>
          <a:off x="5367853" y="143879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138630</xdr:colOff>
      <xdr:row>9</xdr:row>
      <xdr:rowOff>29093</xdr:rowOff>
    </xdr:from>
    <xdr:to>
      <xdr:col>10</xdr:col>
      <xdr:colOff>235746</xdr:colOff>
      <xdr:row>9</xdr:row>
      <xdr:rowOff>128590</xdr:rowOff>
    </xdr:to>
    <xdr:sp macro="" textlink="">
      <xdr:nvSpPr>
        <xdr:cNvPr id="17" name="Diagrama de flujo: conector 16">
          <a:extLst>
            <a:ext uri="{FF2B5EF4-FFF2-40B4-BE49-F238E27FC236}">
              <a16:creationId xmlns:a16="http://schemas.microsoft.com/office/drawing/2014/main" id="{50686EB9-4D0C-4CF5-9D34-29FDD731DA95}"/>
            </a:ext>
          </a:extLst>
        </xdr:cNvPr>
        <xdr:cNvSpPr/>
      </xdr:nvSpPr>
      <xdr:spPr>
        <a:xfrm>
          <a:off x="5367855" y="1162568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7</xdr:row>
      <xdr:rowOff>81476</xdr:rowOff>
    </xdr:from>
    <xdr:to>
      <xdr:col>11</xdr:col>
      <xdr:colOff>385760</xdr:colOff>
      <xdr:row>8</xdr:row>
      <xdr:rowOff>19048</xdr:rowOff>
    </xdr:to>
    <xdr:sp macro="" textlink="">
      <xdr:nvSpPr>
        <xdr:cNvPr id="21" name="Diagrama de flujo: conector 20">
          <a:extLst>
            <a:ext uri="{FF2B5EF4-FFF2-40B4-BE49-F238E27FC236}">
              <a16:creationId xmlns:a16="http://schemas.microsoft.com/office/drawing/2014/main" id="{80D25FFC-154E-4116-A588-7CAB168F8C60}"/>
            </a:ext>
          </a:extLst>
        </xdr:cNvPr>
        <xdr:cNvSpPr/>
      </xdr:nvSpPr>
      <xdr:spPr>
        <a:xfrm>
          <a:off x="6032219" y="891101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288647</xdr:colOff>
      <xdr:row>10</xdr:row>
      <xdr:rowOff>143395</xdr:rowOff>
    </xdr:from>
    <xdr:to>
      <xdr:col>11</xdr:col>
      <xdr:colOff>385763</xdr:colOff>
      <xdr:row>11</xdr:row>
      <xdr:rowOff>80967</xdr:rowOff>
    </xdr:to>
    <xdr:sp macro="" textlink="">
      <xdr:nvSpPr>
        <xdr:cNvPr id="22" name="Diagrama de flujo: conector 21">
          <a:extLst>
            <a:ext uri="{FF2B5EF4-FFF2-40B4-BE49-F238E27FC236}">
              <a16:creationId xmlns:a16="http://schemas.microsoft.com/office/drawing/2014/main" id="{9DA16EC7-AB4A-4E33-9DB0-B2983BA13524}"/>
            </a:ext>
          </a:extLst>
        </xdr:cNvPr>
        <xdr:cNvSpPr/>
      </xdr:nvSpPr>
      <xdr:spPr>
        <a:xfrm>
          <a:off x="6032222" y="143879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288649</xdr:colOff>
      <xdr:row>9</xdr:row>
      <xdr:rowOff>29093</xdr:rowOff>
    </xdr:from>
    <xdr:to>
      <xdr:col>11</xdr:col>
      <xdr:colOff>385765</xdr:colOff>
      <xdr:row>9</xdr:row>
      <xdr:rowOff>128590</xdr:rowOff>
    </xdr:to>
    <xdr:sp macro="" textlink="">
      <xdr:nvSpPr>
        <xdr:cNvPr id="23" name="Diagrama de flujo: conector 22">
          <a:extLst>
            <a:ext uri="{FF2B5EF4-FFF2-40B4-BE49-F238E27FC236}">
              <a16:creationId xmlns:a16="http://schemas.microsoft.com/office/drawing/2014/main" id="{0F75C549-F724-4F74-B322-1AF654D5126A}"/>
            </a:ext>
          </a:extLst>
        </xdr:cNvPr>
        <xdr:cNvSpPr/>
      </xdr:nvSpPr>
      <xdr:spPr>
        <a:xfrm>
          <a:off x="6032224" y="1162568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61912</xdr:colOff>
      <xdr:row>5</xdr:row>
      <xdr:rowOff>97632</xdr:rowOff>
    </xdr:from>
    <xdr:to>
      <xdr:col>11</xdr:col>
      <xdr:colOff>457199</xdr:colOff>
      <xdr:row>6</xdr:row>
      <xdr:rowOff>114300</xdr:rowOff>
    </xdr:to>
    <xdr:sp macro="" textlink="">
      <xdr:nvSpPr>
        <xdr:cNvPr id="24" name="Elipse 23">
          <a:extLst>
            <a:ext uri="{FF2B5EF4-FFF2-40B4-BE49-F238E27FC236}">
              <a16:creationId xmlns:a16="http://schemas.microsoft.com/office/drawing/2014/main" id="{A4AE95DA-3753-4940-B37C-3100CE3DBA11}"/>
            </a:ext>
          </a:extLst>
        </xdr:cNvPr>
        <xdr:cNvSpPr/>
      </xdr:nvSpPr>
      <xdr:spPr>
        <a:xfrm>
          <a:off x="5291137" y="583407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64290</xdr:colOff>
      <xdr:row>7</xdr:row>
      <xdr:rowOff>40482</xdr:rowOff>
    </xdr:from>
    <xdr:to>
      <xdr:col>11</xdr:col>
      <xdr:colOff>459577</xdr:colOff>
      <xdr:row>8</xdr:row>
      <xdr:rowOff>57150</xdr:rowOff>
    </xdr:to>
    <xdr:sp macro="" textlink="">
      <xdr:nvSpPr>
        <xdr:cNvPr id="25" name="Elipse 24">
          <a:extLst>
            <a:ext uri="{FF2B5EF4-FFF2-40B4-BE49-F238E27FC236}">
              <a16:creationId xmlns:a16="http://schemas.microsoft.com/office/drawing/2014/main" id="{EADE3C45-11C1-4F34-A113-2AF605318832}"/>
            </a:ext>
          </a:extLst>
        </xdr:cNvPr>
        <xdr:cNvSpPr/>
      </xdr:nvSpPr>
      <xdr:spPr>
        <a:xfrm>
          <a:off x="5293515" y="850107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61908</xdr:colOff>
      <xdr:row>8</xdr:row>
      <xdr:rowOff>150019</xdr:rowOff>
    </xdr:from>
    <xdr:to>
      <xdr:col>11</xdr:col>
      <xdr:colOff>457195</xdr:colOff>
      <xdr:row>10</xdr:row>
      <xdr:rowOff>4762</xdr:rowOff>
    </xdr:to>
    <xdr:sp macro="" textlink="">
      <xdr:nvSpPr>
        <xdr:cNvPr id="26" name="Elipse 25">
          <a:extLst>
            <a:ext uri="{FF2B5EF4-FFF2-40B4-BE49-F238E27FC236}">
              <a16:creationId xmlns:a16="http://schemas.microsoft.com/office/drawing/2014/main" id="{5F669614-AD3E-47AC-A954-181947FE8B6E}"/>
            </a:ext>
          </a:extLst>
        </xdr:cNvPr>
        <xdr:cNvSpPr/>
      </xdr:nvSpPr>
      <xdr:spPr>
        <a:xfrm>
          <a:off x="5291133" y="1121569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64288</xdr:colOff>
      <xdr:row>10</xdr:row>
      <xdr:rowOff>104774</xdr:rowOff>
    </xdr:from>
    <xdr:to>
      <xdr:col>11</xdr:col>
      <xdr:colOff>459575</xdr:colOff>
      <xdr:row>11</xdr:row>
      <xdr:rowOff>121442</xdr:rowOff>
    </xdr:to>
    <xdr:sp macro="" textlink="">
      <xdr:nvSpPr>
        <xdr:cNvPr id="27" name="Elipse 26">
          <a:extLst>
            <a:ext uri="{FF2B5EF4-FFF2-40B4-BE49-F238E27FC236}">
              <a16:creationId xmlns:a16="http://schemas.microsoft.com/office/drawing/2014/main" id="{2CABBF2C-80A9-47C2-9EB2-46BFB967367D}"/>
            </a:ext>
          </a:extLst>
        </xdr:cNvPr>
        <xdr:cNvSpPr/>
      </xdr:nvSpPr>
      <xdr:spPr>
        <a:xfrm>
          <a:off x="5293513" y="1400174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61905</xdr:colOff>
      <xdr:row>12</xdr:row>
      <xdr:rowOff>59528</xdr:rowOff>
    </xdr:from>
    <xdr:to>
      <xdr:col>11</xdr:col>
      <xdr:colOff>457192</xdr:colOff>
      <xdr:row>13</xdr:row>
      <xdr:rowOff>76196</xdr:rowOff>
    </xdr:to>
    <xdr:sp macro="" textlink="">
      <xdr:nvSpPr>
        <xdr:cNvPr id="28" name="Elipse 27">
          <a:extLst>
            <a:ext uri="{FF2B5EF4-FFF2-40B4-BE49-F238E27FC236}">
              <a16:creationId xmlns:a16="http://schemas.microsoft.com/office/drawing/2014/main" id="{4A3A9A5B-CA99-46CA-9051-9BD35096D20C}"/>
            </a:ext>
          </a:extLst>
        </xdr:cNvPr>
        <xdr:cNvSpPr/>
      </xdr:nvSpPr>
      <xdr:spPr>
        <a:xfrm>
          <a:off x="5291130" y="1678778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457199</xdr:colOff>
      <xdr:row>5</xdr:row>
      <xdr:rowOff>71437</xdr:rowOff>
    </xdr:from>
    <xdr:to>
      <xdr:col>12</xdr:col>
      <xdr:colOff>402431</xdr:colOff>
      <xdr:row>6</xdr:row>
      <xdr:rowOff>25003</xdr:rowOff>
    </xdr:to>
    <xdr:cxnSp macro="">
      <xdr:nvCxnSpPr>
        <xdr:cNvPr id="30" name="Conector: curvado 29">
          <a:extLst>
            <a:ext uri="{FF2B5EF4-FFF2-40B4-BE49-F238E27FC236}">
              <a16:creationId xmlns:a16="http://schemas.microsoft.com/office/drawing/2014/main" id="{9C9CFF03-0556-4FC7-ABFD-F0FCDE5521AE}"/>
            </a:ext>
          </a:extLst>
        </xdr:cNvPr>
        <xdr:cNvCxnSpPr>
          <a:endCxn id="24" idx="6"/>
        </xdr:cNvCxnSpPr>
      </xdr:nvCxnSpPr>
      <xdr:spPr>
        <a:xfrm rot="10800000" flipV="1">
          <a:off x="6200774" y="557212"/>
          <a:ext cx="459582" cy="115491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459578</xdr:colOff>
      <xdr:row>7</xdr:row>
      <xdr:rowOff>85725</xdr:rowOff>
    </xdr:from>
    <xdr:to>
      <xdr:col>12</xdr:col>
      <xdr:colOff>411957</xdr:colOff>
      <xdr:row>7</xdr:row>
      <xdr:rowOff>129779</xdr:rowOff>
    </xdr:to>
    <xdr:cxnSp macro="">
      <xdr:nvCxnSpPr>
        <xdr:cNvPr id="32" name="Conector: curvado 31">
          <a:extLst>
            <a:ext uri="{FF2B5EF4-FFF2-40B4-BE49-F238E27FC236}">
              <a16:creationId xmlns:a16="http://schemas.microsoft.com/office/drawing/2014/main" id="{70FB33DC-E731-4BA9-9C13-E3BA49384EA1}"/>
            </a:ext>
          </a:extLst>
        </xdr:cNvPr>
        <xdr:cNvCxnSpPr>
          <a:endCxn id="25" idx="6"/>
        </xdr:cNvCxnSpPr>
      </xdr:nvCxnSpPr>
      <xdr:spPr>
        <a:xfrm rot="10800000" flipV="1">
          <a:off x="6203153" y="895350"/>
          <a:ext cx="466729" cy="44054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457195</xdr:colOff>
      <xdr:row>9</xdr:row>
      <xdr:rowOff>77392</xdr:rowOff>
    </xdr:from>
    <xdr:to>
      <xdr:col>12</xdr:col>
      <xdr:colOff>435769</xdr:colOff>
      <xdr:row>9</xdr:row>
      <xdr:rowOff>83345</xdr:rowOff>
    </xdr:to>
    <xdr:cxnSp macro="">
      <xdr:nvCxnSpPr>
        <xdr:cNvPr id="34" name="Conector: curvado 33">
          <a:extLst>
            <a:ext uri="{FF2B5EF4-FFF2-40B4-BE49-F238E27FC236}">
              <a16:creationId xmlns:a16="http://schemas.microsoft.com/office/drawing/2014/main" id="{C8AD97FB-7303-42E3-9A52-B19B3B66BE4B}"/>
            </a:ext>
          </a:extLst>
        </xdr:cNvPr>
        <xdr:cNvCxnSpPr>
          <a:endCxn id="26" idx="6"/>
        </xdr:cNvCxnSpPr>
      </xdr:nvCxnSpPr>
      <xdr:spPr>
        <a:xfrm rot="10800000">
          <a:off x="6200770" y="1210867"/>
          <a:ext cx="492924" cy="5953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459575</xdr:colOff>
      <xdr:row>11</xdr:row>
      <xdr:rowOff>32146</xdr:rowOff>
    </xdr:from>
    <xdr:to>
      <xdr:col>12</xdr:col>
      <xdr:colOff>440531</xdr:colOff>
      <xdr:row>11</xdr:row>
      <xdr:rowOff>95250</xdr:rowOff>
    </xdr:to>
    <xdr:cxnSp macro="">
      <xdr:nvCxnSpPr>
        <xdr:cNvPr id="36" name="Conector: curvado 35">
          <a:extLst>
            <a:ext uri="{FF2B5EF4-FFF2-40B4-BE49-F238E27FC236}">
              <a16:creationId xmlns:a16="http://schemas.microsoft.com/office/drawing/2014/main" id="{211954BD-302E-49A1-9F82-A184DA97E188}"/>
            </a:ext>
          </a:extLst>
        </xdr:cNvPr>
        <xdr:cNvCxnSpPr>
          <a:endCxn id="27" idx="6"/>
        </xdr:cNvCxnSpPr>
      </xdr:nvCxnSpPr>
      <xdr:spPr>
        <a:xfrm rot="10800000">
          <a:off x="6203150" y="1489471"/>
          <a:ext cx="495306" cy="63104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457192</xdr:colOff>
      <xdr:row>12</xdr:row>
      <xdr:rowOff>148826</xdr:rowOff>
    </xdr:from>
    <xdr:to>
      <xdr:col>12</xdr:col>
      <xdr:colOff>431006</xdr:colOff>
      <xdr:row>13</xdr:row>
      <xdr:rowOff>80964</xdr:rowOff>
    </xdr:to>
    <xdr:cxnSp macro="">
      <xdr:nvCxnSpPr>
        <xdr:cNvPr id="38" name="Conector: curvado 37">
          <a:extLst>
            <a:ext uri="{FF2B5EF4-FFF2-40B4-BE49-F238E27FC236}">
              <a16:creationId xmlns:a16="http://schemas.microsoft.com/office/drawing/2014/main" id="{55E37A68-E78E-4D9B-BCD4-F36C794B1087}"/>
            </a:ext>
          </a:extLst>
        </xdr:cNvPr>
        <xdr:cNvCxnSpPr>
          <a:endCxn id="28" idx="6"/>
        </xdr:cNvCxnSpPr>
      </xdr:nvCxnSpPr>
      <xdr:spPr>
        <a:xfrm rot="10800000">
          <a:off x="6200767" y="1768076"/>
          <a:ext cx="488164" cy="94063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344521</xdr:colOff>
      <xdr:row>4</xdr:row>
      <xdr:rowOff>158074</xdr:rowOff>
    </xdr:from>
    <xdr:to>
      <xdr:col>9</xdr:col>
      <xdr:colOff>348575</xdr:colOff>
      <xdr:row>6</xdr:row>
      <xdr:rowOff>28372</xdr:rowOff>
    </xdr:to>
    <xdr:cxnSp macro="">
      <xdr:nvCxnSpPr>
        <xdr:cNvPr id="40" name="Conector recto de flecha 39">
          <a:extLst>
            <a:ext uri="{FF2B5EF4-FFF2-40B4-BE49-F238E27FC236}">
              <a16:creationId xmlns:a16="http://schemas.microsoft.com/office/drawing/2014/main" id="{C8B6538F-0924-419E-A053-A6DAFCE105A1}"/>
            </a:ext>
          </a:extLst>
        </xdr:cNvPr>
        <xdr:cNvCxnSpPr/>
      </xdr:nvCxnSpPr>
      <xdr:spPr>
        <a:xfrm flipV="1">
          <a:off x="5062436" y="482329"/>
          <a:ext cx="4054" cy="19455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137812</xdr:colOff>
      <xdr:row>4</xdr:row>
      <xdr:rowOff>158075</xdr:rowOff>
    </xdr:from>
    <xdr:to>
      <xdr:col>9</xdr:col>
      <xdr:colOff>141865</xdr:colOff>
      <xdr:row>7</xdr:row>
      <xdr:rowOff>133756</xdr:rowOff>
    </xdr:to>
    <xdr:cxnSp macro="">
      <xdr:nvCxnSpPr>
        <xdr:cNvPr id="42" name="Conector recto de flecha 41">
          <a:extLst>
            <a:ext uri="{FF2B5EF4-FFF2-40B4-BE49-F238E27FC236}">
              <a16:creationId xmlns:a16="http://schemas.microsoft.com/office/drawing/2014/main" id="{81595E5E-D302-4EE2-87FE-3430CCFC26C4}"/>
            </a:ext>
          </a:extLst>
        </xdr:cNvPr>
        <xdr:cNvCxnSpPr/>
      </xdr:nvCxnSpPr>
      <xdr:spPr>
        <a:xfrm flipV="1">
          <a:off x="4855727" y="482330"/>
          <a:ext cx="4053" cy="46206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448668</xdr:colOff>
      <xdr:row>5</xdr:row>
      <xdr:rowOff>0</xdr:rowOff>
    </xdr:from>
    <xdr:to>
      <xdr:col>8</xdr:col>
      <xdr:colOff>449902</xdr:colOff>
      <xdr:row>9</xdr:row>
      <xdr:rowOff>85117</xdr:rowOff>
    </xdr:to>
    <xdr:cxnSp macro="">
      <xdr:nvCxnSpPr>
        <xdr:cNvPr id="44" name="Conector recto de flecha 43">
          <a:extLst>
            <a:ext uri="{FF2B5EF4-FFF2-40B4-BE49-F238E27FC236}">
              <a16:creationId xmlns:a16="http://schemas.microsoft.com/office/drawing/2014/main" id="{9C60B845-8699-439E-B643-EE1E8C9333DB}"/>
            </a:ext>
          </a:extLst>
        </xdr:cNvPr>
        <xdr:cNvCxnSpPr/>
      </xdr:nvCxnSpPr>
      <xdr:spPr>
        <a:xfrm flipV="1">
          <a:off x="4651828" y="486383"/>
          <a:ext cx="1234" cy="73362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226977</xdr:colOff>
      <xdr:row>5</xdr:row>
      <xdr:rowOff>0</xdr:rowOff>
    </xdr:from>
    <xdr:to>
      <xdr:col>8</xdr:col>
      <xdr:colOff>231030</xdr:colOff>
      <xdr:row>11</xdr:row>
      <xdr:rowOff>32426</xdr:rowOff>
    </xdr:to>
    <xdr:cxnSp macro="">
      <xdr:nvCxnSpPr>
        <xdr:cNvPr id="46" name="Conector recto de flecha 45">
          <a:extLst>
            <a:ext uri="{FF2B5EF4-FFF2-40B4-BE49-F238E27FC236}">
              <a16:creationId xmlns:a16="http://schemas.microsoft.com/office/drawing/2014/main" id="{BED1A2BE-4780-45B6-86FC-AA3E0657FCEA}"/>
            </a:ext>
          </a:extLst>
        </xdr:cNvPr>
        <xdr:cNvCxnSpPr/>
      </xdr:nvCxnSpPr>
      <xdr:spPr>
        <a:xfrm flipV="1">
          <a:off x="4430137" y="486383"/>
          <a:ext cx="4053" cy="100519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16212</xdr:colOff>
      <xdr:row>5</xdr:row>
      <xdr:rowOff>0</xdr:rowOff>
    </xdr:from>
    <xdr:to>
      <xdr:col>8</xdr:col>
      <xdr:colOff>16212</xdr:colOff>
      <xdr:row>12</xdr:row>
      <xdr:rowOff>154021</xdr:rowOff>
    </xdr:to>
    <xdr:cxnSp macro="">
      <xdr:nvCxnSpPr>
        <xdr:cNvPr id="48" name="Conector recto de flecha 47">
          <a:extLst>
            <a:ext uri="{FF2B5EF4-FFF2-40B4-BE49-F238E27FC236}">
              <a16:creationId xmlns:a16="http://schemas.microsoft.com/office/drawing/2014/main" id="{21819EBD-A9B0-454D-8491-01910DECED43}"/>
            </a:ext>
          </a:extLst>
        </xdr:cNvPr>
        <xdr:cNvCxnSpPr/>
      </xdr:nvCxnSpPr>
      <xdr:spPr>
        <a:xfrm flipV="1">
          <a:off x="4219372" y="486383"/>
          <a:ext cx="0" cy="128891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595819</xdr:colOff>
      <xdr:row>5</xdr:row>
      <xdr:rowOff>0</xdr:rowOff>
    </xdr:from>
    <xdr:to>
      <xdr:col>10</xdr:col>
      <xdr:colOff>12160</xdr:colOff>
      <xdr:row>5</xdr:row>
      <xdr:rowOff>4053</xdr:rowOff>
    </xdr:to>
    <xdr:cxnSp macro="">
      <xdr:nvCxnSpPr>
        <xdr:cNvPr id="50" name="Conector recto 49">
          <a:extLst>
            <a:ext uri="{FF2B5EF4-FFF2-40B4-BE49-F238E27FC236}">
              <a16:creationId xmlns:a16="http://schemas.microsoft.com/office/drawing/2014/main" id="{5EB3BAD7-B092-4C7F-923A-FBFC34C41806}"/>
            </a:ext>
          </a:extLst>
        </xdr:cNvPr>
        <xdr:cNvCxnSpPr/>
      </xdr:nvCxnSpPr>
      <xdr:spPr>
        <a:xfrm flipV="1">
          <a:off x="4150468" y="486383"/>
          <a:ext cx="1094362" cy="4053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299936</xdr:colOff>
      <xdr:row>6</xdr:row>
      <xdr:rowOff>23968</xdr:rowOff>
    </xdr:from>
    <xdr:to>
      <xdr:col>10</xdr:col>
      <xdr:colOff>138628</xdr:colOff>
      <xdr:row>6</xdr:row>
      <xdr:rowOff>24319</xdr:rowOff>
    </xdr:to>
    <xdr:cxnSp macro="">
      <xdr:nvCxnSpPr>
        <xdr:cNvPr id="53" name="Conector recto 52">
          <a:extLst>
            <a:ext uri="{FF2B5EF4-FFF2-40B4-BE49-F238E27FC236}">
              <a16:creationId xmlns:a16="http://schemas.microsoft.com/office/drawing/2014/main" id="{0FEC6AF4-BB93-4854-8863-2AE379EEC85E}"/>
            </a:ext>
          </a:extLst>
        </xdr:cNvPr>
        <xdr:cNvCxnSpPr>
          <a:stCxn id="6" idx="2"/>
        </xdr:cNvCxnSpPr>
      </xdr:nvCxnSpPr>
      <xdr:spPr>
        <a:xfrm flipH="1">
          <a:off x="5017851" y="672479"/>
          <a:ext cx="353447" cy="351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77011</xdr:colOff>
      <xdr:row>7</xdr:row>
      <xdr:rowOff>135836</xdr:rowOff>
    </xdr:from>
    <xdr:to>
      <xdr:col>10</xdr:col>
      <xdr:colOff>132954</xdr:colOff>
      <xdr:row>7</xdr:row>
      <xdr:rowOff>137809</xdr:rowOff>
    </xdr:to>
    <xdr:cxnSp macro="">
      <xdr:nvCxnSpPr>
        <xdr:cNvPr id="56" name="Conector recto 55">
          <a:extLst>
            <a:ext uri="{FF2B5EF4-FFF2-40B4-BE49-F238E27FC236}">
              <a16:creationId xmlns:a16="http://schemas.microsoft.com/office/drawing/2014/main" id="{67F870B8-5B13-4CFF-A345-E74246716871}"/>
            </a:ext>
          </a:extLst>
        </xdr:cNvPr>
        <xdr:cNvCxnSpPr/>
      </xdr:nvCxnSpPr>
      <xdr:spPr>
        <a:xfrm flipH="1">
          <a:off x="4794926" y="946474"/>
          <a:ext cx="570698" cy="1973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401266</xdr:colOff>
      <xdr:row>9</xdr:row>
      <xdr:rowOff>81063</xdr:rowOff>
    </xdr:from>
    <xdr:to>
      <xdr:col>10</xdr:col>
      <xdr:colOff>131333</xdr:colOff>
      <xdr:row>9</xdr:row>
      <xdr:rowOff>81523</xdr:rowOff>
    </xdr:to>
    <xdr:cxnSp macro="">
      <xdr:nvCxnSpPr>
        <xdr:cNvPr id="58" name="Conector recto 57">
          <a:extLst>
            <a:ext uri="{FF2B5EF4-FFF2-40B4-BE49-F238E27FC236}">
              <a16:creationId xmlns:a16="http://schemas.microsoft.com/office/drawing/2014/main" id="{2A1A0907-26D6-41BF-9EAA-43FC12E30FA3}"/>
            </a:ext>
          </a:extLst>
        </xdr:cNvPr>
        <xdr:cNvCxnSpPr/>
      </xdr:nvCxnSpPr>
      <xdr:spPr>
        <a:xfrm flipH="1" flipV="1">
          <a:off x="4604426" y="1215957"/>
          <a:ext cx="759577" cy="460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166180</xdr:colOff>
      <xdr:row>11</xdr:row>
      <xdr:rowOff>31264</xdr:rowOff>
    </xdr:from>
    <xdr:to>
      <xdr:col>10</xdr:col>
      <xdr:colOff>137818</xdr:colOff>
      <xdr:row>11</xdr:row>
      <xdr:rowOff>32425</xdr:rowOff>
    </xdr:to>
    <xdr:cxnSp macro="">
      <xdr:nvCxnSpPr>
        <xdr:cNvPr id="60" name="Conector recto 59">
          <a:extLst>
            <a:ext uri="{FF2B5EF4-FFF2-40B4-BE49-F238E27FC236}">
              <a16:creationId xmlns:a16="http://schemas.microsoft.com/office/drawing/2014/main" id="{8DB8C61E-0FB4-4CF9-9F58-9E9B64CC7C96}"/>
            </a:ext>
          </a:extLst>
        </xdr:cNvPr>
        <xdr:cNvCxnSpPr/>
      </xdr:nvCxnSpPr>
      <xdr:spPr>
        <a:xfrm flipH="1">
          <a:off x="4369340" y="1490413"/>
          <a:ext cx="1001148" cy="1161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539074</xdr:colOff>
      <xdr:row>12</xdr:row>
      <xdr:rowOff>154021</xdr:rowOff>
    </xdr:from>
    <xdr:to>
      <xdr:col>10</xdr:col>
      <xdr:colOff>132144</xdr:colOff>
      <xdr:row>12</xdr:row>
      <xdr:rowOff>155290</xdr:rowOff>
    </xdr:to>
    <xdr:cxnSp macro="">
      <xdr:nvCxnSpPr>
        <xdr:cNvPr id="62" name="Conector recto 61">
          <a:extLst>
            <a:ext uri="{FF2B5EF4-FFF2-40B4-BE49-F238E27FC236}">
              <a16:creationId xmlns:a16="http://schemas.microsoft.com/office/drawing/2014/main" id="{7FFB0CA8-2B92-4EEB-A9A1-69CAD9A3BE8B}"/>
            </a:ext>
          </a:extLst>
        </xdr:cNvPr>
        <xdr:cNvCxnSpPr/>
      </xdr:nvCxnSpPr>
      <xdr:spPr>
        <a:xfrm flipH="1" flipV="1">
          <a:off x="4093723" y="1775298"/>
          <a:ext cx="1271091" cy="1269"/>
        </a:xfrm>
        <a:prstGeom prst="line">
          <a:avLst/>
        </a:prstGeom>
        <a:ln>
          <a:prstDash val="sys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187256</xdr:colOff>
      <xdr:row>5</xdr:row>
      <xdr:rowOff>19049</xdr:rowOff>
    </xdr:from>
    <xdr:ext cx="119135" cy="140872"/>
    <xdr:sp macro="" textlink="">
      <xdr:nvSpPr>
        <xdr:cNvPr id="65" name="CuadroTexto 64">
          <a:extLst>
            <a:ext uri="{FF2B5EF4-FFF2-40B4-BE49-F238E27FC236}">
              <a16:creationId xmlns:a16="http://schemas.microsoft.com/office/drawing/2014/main" id="{4DCA3E67-CC69-45AA-BD08-D07F1CAFB4E6}"/>
            </a:ext>
          </a:extLst>
        </xdr:cNvPr>
        <xdr:cNvSpPr txBox="1"/>
      </xdr:nvSpPr>
      <xdr:spPr>
        <a:xfrm>
          <a:off x="4905171" y="505432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d1</a:t>
          </a:r>
        </a:p>
      </xdr:txBody>
    </xdr:sp>
    <xdr:clientData/>
  </xdr:oneCellAnchor>
  <xdr:oneCellAnchor>
    <xdr:from>
      <xdr:col>8</xdr:col>
      <xdr:colOff>513945</xdr:colOff>
      <xdr:row>5</xdr:row>
      <xdr:rowOff>147131</xdr:rowOff>
    </xdr:from>
    <xdr:ext cx="119135" cy="140872"/>
    <xdr:sp macro="" textlink="">
      <xdr:nvSpPr>
        <xdr:cNvPr id="66" name="CuadroTexto 65">
          <a:extLst>
            <a:ext uri="{FF2B5EF4-FFF2-40B4-BE49-F238E27FC236}">
              <a16:creationId xmlns:a16="http://schemas.microsoft.com/office/drawing/2014/main" id="{EA0AA112-E4CC-44AD-AF7A-0B75ACE6521F}"/>
            </a:ext>
          </a:extLst>
        </xdr:cNvPr>
        <xdr:cNvSpPr txBox="1"/>
      </xdr:nvSpPr>
      <xdr:spPr>
        <a:xfrm>
          <a:off x="4717105" y="633514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d2</a:t>
          </a:r>
        </a:p>
      </xdr:txBody>
    </xdr:sp>
    <xdr:clientData/>
  </xdr:oneCellAnchor>
  <xdr:oneCellAnchor>
    <xdr:from>
      <xdr:col>8</xdr:col>
      <xdr:colOff>301558</xdr:colOff>
      <xdr:row>6</xdr:row>
      <xdr:rowOff>137403</xdr:rowOff>
    </xdr:from>
    <xdr:ext cx="119135" cy="140872"/>
    <xdr:sp macro="" textlink="">
      <xdr:nvSpPr>
        <xdr:cNvPr id="67" name="CuadroTexto 66">
          <a:extLst>
            <a:ext uri="{FF2B5EF4-FFF2-40B4-BE49-F238E27FC236}">
              <a16:creationId xmlns:a16="http://schemas.microsoft.com/office/drawing/2014/main" id="{74C1C026-E5F6-49B0-87B1-656201A99973}"/>
            </a:ext>
          </a:extLst>
        </xdr:cNvPr>
        <xdr:cNvSpPr txBox="1"/>
      </xdr:nvSpPr>
      <xdr:spPr>
        <a:xfrm>
          <a:off x="4504718" y="785914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d3</a:t>
          </a:r>
        </a:p>
      </xdr:txBody>
    </xdr:sp>
    <xdr:clientData/>
  </xdr:oneCellAnchor>
  <xdr:oneCellAnchor>
    <xdr:from>
      <xdr:col>8</xdr:col>
      <xdr:colOff>85117</xdr:colOff>
      <xdr:row>7</xdr:row>
      <xdr:rowOff>115517</xdr:rowOff>
    </xdr:from>
    <xdr:ext cx="119135" cy="140872"/>
    <xdr:sp macro="" textlink="">
      <xdr:nvSpPr>
        <xdr:cNvPr id="68" name="CuadroTexto 67">
          <a:extLst>
            <a:ext uri="{FF2B5EF4-FFF2-40B4-BE49-F238E27FC236}">
              <a16:creationId xmlns:a16="http://schemas.microsoft.com/office/drawing/2014/main" id="{C5737252-682D-43E2-A8AF-AE4D7CEBA901}"/>
            </a:ext>
          </a:extLst>
        </xdr:cNvPr>
        <xdr:cNvSpPr txBox="1"/>
      </xdr:nvSpPr>
      <xdr:spPr>
        <a:xfrm>
          <a:off x="4288277" y="926155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d4</a:t>
          </a:r>
        </a:p>
      </xdr:txBody>
    </xdr:sp>
    <xdr:clientData/>
  </xdr:oneCellAnchor>
  <xdr:oneCellAnchor>
    <xdr:from>
      <xdr:col>7</xdr:col>
      <xdr:colOff>517188</xdr:colOff>
      <xdr:row>8</xdr:row>
      <xdr:rowOff>93630</xdr:rowOff>
    </xdr:from>
    <xdr:ext cx="119135" cy="140872"/>
    <xdr:sp macro="" textlink="">
      <xdr:nvSpPr>
        <xdr:cNvPr id="69" name="CuadroTexto 68">
          <a:extLst>
            <a:ext uri="{FF2B5EF4-FFF2-40B4-BE49-F238E27FC236}">
              <a16:creationId xmlns:a16="http://schemas.microsoft.com/office/drawing/2014/main" id="{B288A6A2-AE31-4417-80DA-88F98C9B850D}"/>
            </a:ext>
          </a:extLst>
        </xdr:cNvPr>
        <xdr:cNvSpPr txBox="1"/>
      </xdr:nvSpPr>
      <xdr:spPr>
        <a:xfrm>
          <a:off x="4071837" y="1066396"/>
          <a:ext cx="119135" cy="1408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r>
            <a:rPr lang="es-PE" sz="900"/>
            <a:t>d5</a:t>
          </a:r>
        </a:p>
      </xdr:txBody>
    </xdr:sp>
    <xdr:clientData/>
  </xdr:oneCellAnchor>
  <xdr:twoCellAnchor>
    <xdr:from>
      <xdr:col>9</xdr:col>
      <xdr:colOff>513521</xdr:colOff>
      <xdr:row>23</xdr:row>
      <xdr:rowOff>0</xdr:rowOff>
    </xdr:from>
    <xdr:to>
      <xdr:col>12</xdr:col>
      <xdr:colOff>0</xdr:colOff>
      <xdr:row>32</xdr:row>
      <xdr:rowOff>0</xdr:rowOff>
    </xdr:to>
    <xdr:sp macro="" textlink="">
      <xdr:nvSpPr>
        <xdr:cNvPr id="101" name="Rectángulo 100">
          <a:extLst>
            <a:ext uri="{FF2B5EF4-FFF2-40B4-BE49-F238E27FC236}">
              <a16:creationId xmlns:a16="http://schemas.microsoft.com/office/drawing/2014/main" id="{AB7FDD8B-3EC1-4794-A0CE-387F19455EE6}"/>
            </a:ext>
          </a:extLst>
        </xdr:cNvPr>
        <xdr:cNvSpPr/>
      </xdr:nvSpPr>
      <xdr:spPr>
        <a:xfrm>
          <a:off x="5228396" y="1133475"/>
          <a:ext cx="1029529" cy="1457325"/>
        </a:xfrm>
        <a:prstGeom prst="rect">
          <a:avLst/>
        </a:prstGeom>
        <a:noFill/>
        <a:ln w="28575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119268</xdr:colOff>
      <xdr:row>23</xdr:row>
      <xdr:rowOff>115955</xdr:rowOff>
    </xdr:from>
    <xdr:to>
      <xdr:col>11</xdr:col>
      <xdr:colOff>405847</xdr:colOff>
      <xdr:row>31</xdr:row>
      <xdr:rowOff>57977</xdr:rowOff>
    </xdr:to>
    <xdr:sp macro="" textlink="">
      <xdr:nvSpPr>
        <xdr:cNvPr id="102" name="Rectángulo 101">
          <a:extLst>
            <a:ext uri="{FF2B5EF4-FFF2-40B4-BE49-F238E27FC236}">
              <a16:creationId xmlns:a16="http://schemas.microsoft.com/office/drawing/2014/main" id="{025B4513-FE5B-4146-B7C1-209CC952B441}"/>
            </a:ext>
          </a:extLst>
        </xdr:cNvPr>
        <xdr:cNvSpPr/>
      </xdr:nvSpPr>
      <xdr:spPr>
        <a:xfrm>
          <a:off x="5348493" y="1249430"/>
          <a:ext cx="800929" cy="1237422"/>
        </a:xfrm>
        <a:prstGeom prst="rect">
          <a:avLst/>
        </a:prstGeom>
        <a:noFill/>
        <a:ln w="1905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23</xdr:row>
      <xdr:rowOff>136246</xdr:rowOff>
    </xdr:from>
    <xdr:to>
      <xdr:col>10</xdr:col>
      <xdr:colOff>235744</xdr:colOff>
      <xdr:row>24</xdr:row>
      <xdr:rowOff>73818</xdr:rowOff>
    </xdr:to>
    <xdr:sp macro="" textlink="">
      <xdr:nvSpPr>
        <xdr:cNvPr id="103" name="Diagrama de flujo: conector 102">
          <a:extLst>
            <a:ext uri="{FF2B5EF4-FFF2-40B4-BE49-F238E27FC236}">
              <a16:creationId xmlns:a16="http://schemas.microsoft.com/office/drawing/2014/main" id="{76249076-996E-4653-945A-153EBAF29577}"/>
            </a:ext>
          </a:extLst>
        </xdr:cNvPr>
        <xdr:cNvSpPr/>
      </xdr:nvSpPr>
      <xdr:spPr>
        <a:xfrm>
          <a:off x="5367853" y="1269721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350559</xdr:colOff>
      <xdr:row>23</xdr:row>
      <xdr:rowOff>136243</xdr:rowOff>
    </xdr:from>
    <xdr:to>
      <xdr:col>10</xdr:col>
      <xdr:colOff>447675</xdr:colOff>
      <xdr:row>24</xdr:row>
      <xdr:rowOff>73815</xdr:rowOff>
    </xdr:to>
    <xdr:sp macro="" textlink="">
      <xdr:nvSpPr>
        <xdr:cNvPr id="104" name="Diagrama de flujo: conector 103">
          <a:extLst>
            <a:ext uri="{FF2B5EF4-FFF2-40B4-BE49-F238E27FC236}">
              <a16:creationId xmlns:a16="http://schemas.microsoft.com/office/drawing/2014/main" id="{05734175-10B9-4218-BE65-5509767AB5FB}"/>
            </a:ext>
          </a:extLst>
        </xdr:cNvPr>
        <xdr:cNvSpPr/>
      </xdr:nvSpPr>
      <xdr:spPr>
        <a:xfrm>
          <a:off x="5579784" y="1269718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52901</xdr:colOff>
      <xdr:row>23</xdr:row>
      <xdr:rowOff>136244</xdr:rowOff>
    </xdr:from>
    <xdr:to>
      <xdr:col>11</xdr:col>
      <xdr:colOff>150017</xdr:colOff>
      <xdr:row>24</xdr:row>
      <xdr:rowOff>73816</xdr:rowOff>
    </xdr:to>
    <xdr:sp macro="" textlink="">
      <xdr:nvSpPr>
        <xdr:cNvPr id="105" name="Diagrama de flujo: conector 104">
          <a:extLst>
            <a:ext uri="{FF2B5EF4-FFF2-40B4-BE49-F238E27FC236}">
              <a16:creationId xmlns:a16="http://schemas.microsoft.com/office/drawing/2014/main" id="{1884C247-54AC-4BA3-9FD0-D0F2196DB2A5}"/>
            </a:ext>
          </a:extLst>
        </xdr:cNvPr>
        <xdr:cNvSpPr/>
      </xdr:nvSpPr>
      <xdr:spPr>
        <a:xfrm>
          <a:off x="5796476" y="1269719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288646</xdr:colOff>
      <xdr:row>23</xdr:row>
      <xdr:rowOff>136246</xdr:rowOff>
    </xdr:from>
    <xdr:to>
      <xdr:col>11</xdr:col>
      <xdr:colOff>385762</xdr:colOff>
      <xdr:row>24</xdr:row>
      <xdr:rowOff>73818</xdr:rowOff>
    </xdr:to>
    <xdr:sp macro="" textlink="">
      <xdr:nvSpPr>
        <xdr:cNvPr id="106" name="Diagrama de flujo: conector 105">
          <a:extLst>
            <a:ext uri="{FF2B5EF4-FFF2-40B4-BE49-F238E27FC236}">
              <a16:creationId xmlns:a16="http://schemas.microsoft.com/office/drawing/2014/main" id="{26702A69-523B-4225-8258-FDD4BD4C50A0}"/>
            </a:ext>
          </a:extLst>
        </xdr:cNvPr>
        <xdr:cNvSpPr/>
      </xdr:nvSpPr>
      <xdr:spPr>
        <a:xfrm>
          <a:off x="6032221" y="1269721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30</xdr:row>
      <xdr:rowOff>100539</xdr:rowOff>
    </xdr:from>
    <xdr:to>
      <xdr:col>10</xdr:col>
      <xdr:colOff>235744</xdr:colOff>
      <xdr:row>31</xdr:row>
      <xdr:rowOff>38111</xdr:rowOff>
    </xdr:to>
    <xdr:sp macro="" textlink="">
      <xdr:nvSpPr>
        <xdr:cNvPr id="107" name="Diagrama de flujo: conector 106">
          <a:extLst>
            <a:ext uri="{FF2B5EF4-FFF2-40B4-BE49-F238E27FC236}">
              <a16:creationId xmlns:a16="http://schemas.microsoft.com/office/drawing/2014/main" id="{91017DB9-9E05-409E-AB50-BB4F52C697AB}"/>
            </a:ext>
          </a:extLst>
        </xdr:cNvPr>
        <xdr:cNvSpPr/>
      </xdr:nvSpPr>
      <xdr:spPr>
        <a:xfrm>
          <a:off x="5367853" y="2367489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30</xdr:row>
      <xdr:rowOff>100540</xdr:rowOff>
    </xdr:from>
    <xdr:to>
      <xdr:col>11</xdr:col>
      <xdr:colOff>385760</xdr:colOff>
      <xdr:row>31</xdr:row>
      <xdr:rowOff>38112</xdr:rowOff>
    </xdr:to>
    <xdr:sp macro="" textlink="">
      <xdr:nvSpPr>
        <xdr:cNvPr id="108" name="Diagrama de flujo: conector 107">
          <a:extLst>
            <a:ext uri="{FF2B5EF4-FFF2-40B4-BE49-F238E27FC236}">
              <a16:creationId xmlns:a16="http://schemas.microsoft.com/office/drawing/2014/main" id="{8224E9EC-5128-4B1E-B2A7-C8424C93E732}"/>
            </a:ext>
          </a:extLst>
        </xdr:cNvPr>
        <xdr:cNvSpPr/>
      </xdr:nvSpPr>
      <xdr:spPr>
        <a:xfrm>
          <a:off x="6032219" y="236749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55284</xdr:colOff>
      <xdr:row>30</xdr:row>
      <xdr:rowOff>100540</xdr:rowOff>
    </xdr:from>
    <xdr:to>
      <xdr:col>11</xdr:col>
      <xdr:colOff>152400</xdr:colOff>
      <xdr:row>31</xdr:row>
      <xdr:rowOff>38112</xdr:rowOff>
    </xdr:to>
    <xdr:sp macro="" textlink="">
      <xdr:nvSpPr>
        <xdr:cNvPr id="109" name="Diagrama de flujo: conector 108">
          <a:extLst>
            <a:ext uri="{FF2B5EF4-FFF2-40B4-BE49-F238E27FC236}">
              <a16:creationId xmlns:a16="http://schemas.microsoft.com/office/drawing/2014/main" id="{F40134E8-7228-4F73-9A3D-9A3C2C98BECD}"/>
            </a:ext>
          </a:extLst>
        </xdr:cNvPr>
        <xdr:cNvSpPr/>
      </xdr:nvSpPr>
      <xdr:spPr>
        <a:xfrm>
          <a:off x="5798859" y="2367490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360086</xdr:colOff>
      <xdr:row>30</xdr:row>
      <xdr:rowOff>100535</xdr:rowOff>
    </xdr:from>
    <xdr:to>
      <xdr:col>10</xdr:col>
      <xdr:colOff>457202</xdr:colOff>
      <xdr:row>31</xdr:row>
      <xdr:rowOff>38107</xdr:rowOff>
    </xdr:to>
    <xdr:sp macro="" textlink="">
      <xdr:nvSpPr>
        <xdr:cNvPr id="110" name="Diagrama de flujo: conector 109">
          <a:extLst>
            <a:ext uri="{FF2B5EF4-FFF2-40B4-BE49-F238E27FC236}">
              <a16:creationId xmlns:a16="http://schemas.microsoft.com/office/drawing/2014/main" id="{CDE2BC9D-AFCC-44A8-987F-90862EFAC282}"/>
            </a:ext>
          </a:extLst>
        </xdr:cNvPr>
        <xdr:cNvSpPr/>
      </xdr:nvSpPr>
      <xdr:spPr>
        <a:xfrm>
          <a:off x="5589311" y="236748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138626</xdr:colOff>
      <xdr:row>25</xdr:row>
      <xdr:rowOff>81476</xdr:rowOff>
    </xdr:from>
    <xdr:to>
      <xdr:col>10</xdr:col>
      <xdr:colOff>235742</xdr:colOff>
      <xdr:row>26</xdr:row>
      <xdr:rowOff>19048</xdr:rowOff>
    </xdr:to>
    <xdr:sp macro="" textlink="">
      <xdr:nvSpPr>
        <xdr:cNvPr id="111" name="Diagrama de flujo: conector 110">
          <a:extLst>
            <a:ext uri="{FF2B5EF4-FFF2-40B4-BE49-F238E27FC236}">
              <a16:creationId xmlns:a16="http://schemas.microsoft.com/office/drawing/2014/main" id="{101B46E0-5021-45D1-9580-E1DC91588EE0}"/>
            </a:ext>
          </a:extLst>
        </xdr:cNvPr>
        <xdr:cNvSpPr/>
      </xdr:nvSpPr>
      <xdr:spPr>
        <a:xfrm>
          <a:off x="5367851" y="1538801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138628</xdr:colOff>
      <xdr:row>28</xdr:row>
      <xdr:rowOff>143395</xdr:rowOff>
    </xdr:from>
    <xdr:to>
      <xdr:col>10</xdr:col>
      <xdr:colOff>235744</xdr:colOff>
      <xdr:row>29</xdr:row>
      <xdr:rowOff>80967</xdr:rowOff>
    </xdr:to>
    <xdr:sp macro="" textlink="">
      <xdr:nvSpPr>
        <xdr:cNvPr id="112" name="Diagrama de flujo: conector 111">
          <a:extLst>
            <a:ext uri="{FF2B5EF4-FFF2-40B4-BE49-F238E27FC236}">
              <a16:creationId xmlns:a16="http://schemas.microsoft.com/office/drawing/2014/main" id="{27DCD609-B35C-4035-B4AE-A76704D2B1CB}"/>
            </a:ext>
          </a:extLst>
        </xdr:cNvPr>
        <xdr:cNvSpPr/>
      </xdr:nvSpPr>
      <xdr:spPr>
        <a:xfrm>
          <a:off x="5367853" y="208649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138630</xdr:colOff>
      <xdr:row>27</xdr:row>
      <xdr:rowOff>29093</xdr:rowOff>
    </xdr:from>
    <xdr:to>
      <xdr:col>10</xdr:col>
      <xdr:colOff>235746</xdr:colOff>
      <xdr:row>27</xdr:row>
      <xdr:rowOff>128590</xdr:rowOff>
    </xdr:to>
    <xdr:sp macro="" textlink="">
      <xdr:nvSpPr>
        <xdr:cNvPr id="113" name="Diagrama de flujo: conector 112">
          <a:extLst>
            <a:ext uri="{FF2B5EF4-FFF2-40B4-BE49-F238E27FC236}">
              <a16:creationId xmlns:a16="http://schemas.microsoft.com/office/drawing/2014/main" id="{E2FD2885-147B-403D-935B-9F8A02404F65}"/>
            </a:ext>
          </a:extLst>
        </xdr:cNvPr>
        <xdr:cNvSpPr/>
      </xdr:nvSpPr>
      <xdr:spPr>
        <a:xfrm>
          <a:off x="5367855" y="1810268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288644</xdr:colOff>
      <xdr:row>25</xdr:row>
      <xdr:rowOff>81476</xdr:rowOff>
    </xdr:from>
    <xdr:to>
      <xdr:col>11</xdr:col>
      <xdr:colOff>385760</xdr:colOff>
      <xdr:row>26</xdr:row>
      <xdr:rowOff>19048</xdr:rowOff>
    </xdr:to>
    <xdr:sp macro="" textlink="">
      <xdr:nvSpPr>
        <xdr:cNvPr id="114" name="Diagrama de flujo: conector 113">
          <a:extLst>
            <a:ext uri="{FF2B5EF4-FFF2-40B4-BE49-F238E27FC236}">
              <a16:creationId xmlns:a16="http://schemas.microsoft.com/office/drawing/2014/main" id="{0D7972F5-7DDE-4F71-B248-9A7A232C5E52}"/>
            </a:ext>
          </a:extLst>
        </xdr:cNvPr>
        <xdr:cNvSpPr/>
      </xdr:nvSpPr>
      <xdr:spPr>
        <a:xfrm>
          <a:off x="6032219" y="1538801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288647</xdr:colOff>
      <xdr:row>28</xdr:row>
      <xdr:rowOff>143395</xdr:rowOff>
    </xdr:from>
    <xdr:to>
      <xdr:col>11</xdr:col>
      <xdr:colOff>385763</xdr:colOff>
      <xdr:row>29</xdr:row>
      <xdr:rowOff>80967</xdr:rowOff>
    </xdr:to>
    <xdr:sp macro="" textlink="">
      <xdr:nvSpPr>
        <xdr:cNvPr id="115" name="Diagrama de flujo: conector 114">
          <a:extLst>
            <a:ext uri="{FF2B5EF4-FFF2-40B4-BE49-F238E27FC236}">
              <a16:creationId xmlns:a16="http://schemas.microsoft.com/office/drawing/2014/main" id="{F53B0B87-8A5F-4879-8AA4-A7EC4353D134}"/>
            </a:ext>
          </a:extLst>
        </xdr:cNvPr>
        <xdr:cNvSpPr/>
      </xdr:nvSpPr>
      <xdr:spPr>
        <a:xfrm>
          <a:off x="6032222" y="2086495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288649</xdr:colOff>
      <xdr:row>27</xdr:row>
      <xdr:rowOff>29093</xdr:rowOff>
    </xdr:from>
    <xdr:to>
      <xdr:col>11</xdr:col>
      <xdr:colOff>385765</xdr:colOff>
      <xdr:row>27</xdr:row>
      <xdr:rowOff>128590</xdr:rowOff>
    </xdr:to>
    <xdr:sp macro="" textlink="">
      <xdr:nvSpPr>
        <xdr:cNvPr id="116" name="Diagrama de flujo: conector 115">
          <a:extLst>
            <a:ext uri="{FF2B5EF4-FFF2-40B4-BE49-F238E27FC236}">
              <a16:creationId xmlns:a16="http://schemas.microsoft.com/office/drawing/2014/main" id="{27D5E167-81FF-4CEC-B680-8187C39C60B2}"/>
            </a:ext>
          </a:extLst>
        </xdr:cNvPr>
        <xdr:cNvSpPr/>
      </xdr:nvSpPr>
      <xdr:spPr>
        <a:xfrm>
          <a:off x="6032224" y="1810268"/>
          <a:ext cx="97116" cy="99497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61912</xdr:colOff>
      <xdr:row>23</xdr:row>
      <xdr:rowOff>97632</xdr:rowOff>
    </xdr:from>
    <xdr:to>
      <xdr:col>11</xdr:col>
      <xdr:colOff>457199</xdr:colOff>
      <xdr:row>24</xdr:row>
      <xdr:rowOff>114300</xdr:rowOff>
    </xdr:to>
    <xdr:sp macro="" textlink="">
      <xdr:nvSpPr>
        <xdr:cNvPr id="117" name="Elipse 116">
          <a:extLst>
            <a:ext uri="{FF2B5EF4-FFF2-40B4-BE49-F238E27FC236}">
              <a16:creationId xmlns:a16="http://schemas.microsoft.com/office/drawing/2014/main" id="{9CE4C49C-49B3-4219-8BAF-69F47019479B}"/>
            </a:ext>
          </a:extLst>
        </xdr:cNvPr>
        <xdr:cNvSpPr/>
      </xdr:nvSpPr>
      <xdr:spPr>
        <a:xfrm>
          <a:off x="5291137" y="1231107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64290</xdr:colOff>
      <xdr:row>25</xdr:row>
      <xdr:rowOff>40482</xdr:rowOff>
    </xdr:from>
    <xdr:to>
      <xdr:col>11</xdr:col>
      <xdr:colOff>459577</xdr:colOff>
      <xdr:row>26</xdr:row>
      <xdr:rowOff>57150</xdr:rowOff>
    </xdr:to>
    <xdr:sp macro="" textlink="">
      <xdr:nvSpPr>
        <xdr:cNvPr id="118" name="Elipse 117">
          <a:extLst>
            <a:ext uri="{FF2B5EF4-FFF2-40B4-BE49-F238E27FC236}">
              <a16:creationId xmlns:a16="http://schemas.microsoft.com/office/drawing/2014/main" id="{5B66CF44-694C-4C68-B248-E400C39862E9}"/>
            </a:ext>
          </a:extLst>
        </xdr:cNvPr>
        <xdr:cNvSpPr/>
      </xdr:nvSpPr>
      <xdr:spPr>
        <a:xfrm>
          <a:off x="5293515" y="1497807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61908</xdr:colOff>
      <xdr:row>26</xdr:row>
      <xdr:rowOff>150019</xdr:rowOff>
    </xdr:from>
    <xdr:to>
      <xdr:col>11</xdr:col>
      <xdr:colOff>457195</xdr:colOff>
      <xdr:row>28</xdr:row>
      <xdr:rowOff>4762</xdr:rowOff>
    </xdr:to>
    <xdr:sp macro="" textlink="">
      <xdr:nvSpPr>
        <xdr:cNvPr id="119" name="Elipse 118">
          <a:extLst>
            <a:ext uri="{FF2B5EF4-FFF2-40B4-BE49-F238E27FC236}">
              <a16:creationId xmlns:a16="http://schemas.microsoft.com/office/drawing/2014/main" id="{8B0E295F-8F3D-4619-AE6E-2BF428A861F8}"/>
            </a:ext>
          </a:extLst>
        </xdr:cNvPr>
        <xdr:cNvSpPr/>
      </xdr:nvSpPr>
      <xdr:spPr>
        <a:xfrm>
          <a:off x="5291133" y="1769269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64288</xdr:colOff>
      <xdr:row>28</xdr:row>
      <xdr:rowOff>104774</xdr:rowOff>
    </xdr:from>
    <xdr:to>
      <xdr:col>11</xdr:col>
      <xdr:colOff>459575</xdr:colOff>
      <xdr:row>29</xdr:row>
      <xdr:rowOff>121442</xdr:rowOff>
    </xdr:to>
    <xdr:sp macro="" textlink="">
      <xdr:nvSpPr>
        <xdr:cNvPr id="120" name="Elipse 119">
          <a:extLst>
            <a:ext uri="{FF2B5EF4-FFF2-40B4-BE49-F238E27FC236}">
              <a16:creationId xmlns:a16="http://schemas.microsoft.com/office/drawing/2014/main" id="{4C18C9DE-E2BE-4776-9F9F-DC38B19EC7F5}"/>
            </a:ext>
          </a:extLst>
        </xdr:cNvPr>
        <xdr:cNvSpPr/>
      </xdr:nvSpPr>
      <xdr:spPr>
        <a:xfrm>
          <a:off x="5293513" y="2047874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10</xdr:col>
      <xdr:colOff>61905</xdr:colOff>
      <xdr:row>30</xdr:row>
      <xdr:rowOff>59528</xdr:rowOff>
    </xdr:from>
    <xdr:to>
      <xdr:col>11</xdr:col>
      <xdr:colOff>457192</xdr:colOff>
      <xdr:row>31</xdr:row>
      <xdr:rowOff>76196</xdr:rowOff>
    </xdr:to>
    <xdr:sp macro="" textlink="">
      <xdr:nvSpPr>
        <xdr:cNvPr id="121" name="Elipse 120">
          <a:extLst>
            <a:ext uri="{FF2B5EF4-FFF2-40B4-BE49-F238E27FC236}">
              <a16:creationId xmlns:a16="http://schemas.microsoft.com/office/drawing/2014/main" id="{119526DA-7ADE-4E98-972A-82B104976F89}"/>
            </a:ext>
          </a:extLst>
        </xdr:cNvPr>
        <xdr:cNvSpPr/>
      </xdr:nvSpPr>
      <xdr:spPr>
        <a:xfrm>
          <a:off x="5291130" y="2326478"/>
          <a:ext cx="909637" cy="178593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PE" sz="1100"/>
        </a:p>
      </xdr:txBody>
    </xdr:sp>
    <xdr:clientData/>
  </xdr:twoCellAnchor>
  <xdr:twoCellAnchor>
    <xdr:from>
      <xdr:col>11</xdr:col>
      <xdr:colOff>457199</xdr:colOff>
      <xdr:row>23</xdr:row>
      <xdr:rowOff>71437</xdr:rowOff>
    </xdr:from>
    <xdr:to>
      <xdr:col>12</xdr:col>
      <xdr:colOff>402431</xdr:colOff>
      <xdr:row>24</xdr:row>
      <xdr:rowOff>25003</xdr:rowOff>
    </xdr:to>
    <xdr:cxnSp macro="">
      <xdr:nvCxnSpPr>
        <xdr:cNvPr id="122" name="Conector: curvado 121">
          <a:extLst>
            <a:ext uri="{FF2B5EF4-FFF2-40B4-BE49-F238E27FC236}">
              <a16:creationId xmlns:a16="http://schemas.microsoft.com/office/drawing/2014/main" id="{AE7A2D4E-B625-4A2F-86B9-F2FB09A27B29}"/>
            </a:ext>
          </a:extLst>
        </xdr:cNvPr>
        <xdr:cNvCxnSpPr>
          <a:endCxn id="117" idx="6"/>
        </xdr:cNvCxnSpPr>
      </xdr:nvCxnSpPr>
      <xdr:spPr>
        <a:xfrm rot="10800000" flipV="1">
          <a:off x="6200774" y="1204912"/>
          <a:ext cx="459582" cy="115491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459578</xdr:colOff>
      <xdr:row>25</xdr:row>
      <xdr:rowOff>85725</xdr:rowOff>
    </xdr:from>
    <xdr:to>
      <xdr:col>12</xdr:col>
      <xdr:colOff>411957</xdr:colOff>
      <xdr:row>25</xdr:row>
      <xdr:rowOff>129779</xdr:rowOff>
    </xdr:to>
    <xdr:cxnSp macro="">
      <xdr:nvCxnSpPr>
        <xdr:cNvPr id="123" name="Conector: curvado 122">
          <a:extLst>
            <a:ext uri="{FF2B5EF4-FFF2-40B4-BE49-F238E27FC236}">
              <a16:creationId xmlns:a16="http://schemas.microsoft.com/office/drawing/2014/main" id="{577623E6-D137-4D3C-8B5F-18B2E49B6DBF}"/>
            </a:ext>
          </a:extLst>
        </xdr:cNvPr>
        <xdr:cNvCxnSpPr>
          <a:endCxn id="118" idx="6"/>
        </xdr:cNvCxnSpPr>
      </xdr:nvCxnSpPr>
      <xdr:spPr>
        <a:xfrm rot="10800000" flipV="1">
          <a:off x="6203153" y="1543050"/>
          <a:ext cx="466729" cy="44054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457195</xdr:colOff>
      <xdr:row>27</xdr:row>
      <xdr:rowOff>77392</xdr:rowOff>
    </xdr:from>
    <xdr:to>
      <xdr:col>12</xdr:col>
      <xdr:colOff>435769</xdr:colOff>
      <xdr:row>27</xdr:row>
      <xdr:rowOff>83345</xdr:rowOff>
    </xdr:to>
    <xdr:cxnSp macro="">
      <xdr:nvCxnSpPr>
        <xdr:cNvPr id="124" name="Conector: curvado 123">
          <a:extLst>
            <a:ext uri="{FF2B5EF4-FFF2-40B4-BE49-F238E27FC236}">
              <a16:creationId xmlns:a16="http://schemas.microsoft.com/office/drawing/2014/main" id="{196CB244-6970-4C8B-92D2-987EB65402E1}"/>
            </a:ext>
          </a:extLst>
        </xdr:cNvPr>
        <xdr:cNvCxnSpPr>
          <a:endCxn id="119" idx="6"/>
        </xdr:cNvCxnSpPr>
      </xdr:nvCxnSpPr>
      <xdr:spPr>
        <a:xfrm rot="10800000">
          <a:off x="6200770" y="1858567"/>
          <a:ext cx="492924" cy="5953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459575</xdr:colOff>
      <xdr:row>29</xdr:row>
      <xdr:rowOff>32146</xdr:rowOff>
    </xdr:from>
    <xdr:to>
      <xdr:col>12</xdr:col>
      <xdr:colOff>440531</xdr:colOff>
      <xdr:row>29</xdr:row>
      <xdr:rowOff>95250</xdr:rowOff>
    </xdr:to>
    <xdr:cxnSp macro="">
      <xdr:nvCxnSpPr>
        <xdr:cNvPr id="125" name="Conector: curvado 124">
          <a:extLst>
            <a:ext uri="{FF2B5EF4-FFF2-40B4-BE49-F238E27FC236}">
              <a16:creationId xmlns:a16="http://schemas.microsoft.com/office/drawing/2014/main" id="{78BC046C-7CC5-45F7-9E67-E0439FDEF4CA}"/>
            </a:ext>
          </a:extLst>
        </xdr:cNvPr>
        <xdr:cNvCxnSpPr>
          <a:endCxn id="120" idx="6"/>
        </xdr:cNvCxnSpPr>
      </xdr:nvCxnSpPr>
      <xdr:spPr>
        <a:xfrm rot="10800000">
          <a:off x="6203150" y="2137171"/>
          <a:ext cx="495306" cy="63104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457192</xdr:colOff>
      <xdr:row>30</xdr:row>
      <xdr:rowOff>148826</xdr:rowOff>
    </xdr:from>
    <xdr:to>
      <xdr:col>12</xdr:col>
      <xdr:colOff>431006</xdr:colOff>
      <xdr:row>31</xdr:row>
      <xdr:rowOff>80964</xdr:rowOff>
    </xdr:to>
    <xdr:cxnSp macro="">
      <xdr:nvCxnSpPr>
        <xdr:cNvPr id="126" name="Conector: curvado 125">
          <a:extLst>
            <a:ext uri="{FF2B5EF4-FFF2-40B4-BE49-F238E27FC236}">
              <a16:creationId xmlns:a16="http://schemas.microsoft.com/office/drawing/2014/main" id="{3B375D39-1E48-4B7B-B59E-1116FE3FDF30}"/>
            </a:ext>
          </a:extLst>
        </xdr:cNvPr>
        <xdr:cNvCxnSpPr>
          <a:cxnSpLocks/>
          <a:endCxn id="121" idx="6"/>
        </xdr:cNvCxnSpPr>
      </xdr:nvCxnSpPr>
      <xdr:spPr>
        <a:xfrm rot="10800000">
          <a:off x="6200767" y="2415776"/>
          <a:ext cx="488164" cy="94063"/>
        </a:xfrm>
        <a:prstGeom prst="curvedConnector3">
          <a:avLst/>
        </a:prstGeom>
        <a:ln w="31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85725</xdr:colOff>
      <xdr:row>28</xdr:row>
      <xdr:rowOff>47625</xdr:rowOff>
    </xdr:from>
    <xdr:to>
      <xdr:col>10</xdr:col>
      <xdr:colOff>104775</xdr:colOff>
      <xdr:row>29</xdr:row>
      <xdr:rowOff>85725</xdr:rowOff>
    </xdr:to>
    <xdr:cxnSp macro="">
      <xdr:nvCxnSpPr>
        <xdr:cNvPr id="18" name="Conector: curvado 17">
          <a:extLst>
            <a:ext uri="{FF2B5EF4-FFF2-40B4-BE49-F238E27FC236}">
              <a16:creationId xmlns:a16="http://schemas.microsoft.com/office/drawing/2014/main" id="{5D31F17B-1634-4BC2-B42B-2A7C9BEFBE87}"/>
            </a:ext>
          </a:extLst>
        </xdr:cNvPr>
        <xdr:cNvCxnSpPr/>
      </xdr:nvCxnSpPr>
      <xdr:spPr>
        <a:xfrm flipV="1">
          <a:off x="4800600" y="4933950"/>
          <a:ext cx="533400" cy="200025"/>
        </a:xfrm>
        <a:prstGeom prst="curvedConnector3">
          <a:avLst/>
        </a:prstGeom>
        <a:ln>
          <a:solidFill>
            <a:srgbClr val="7030A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171450</xdr:colOff>
      <xdr:row>40</xdr:row>
      <xdr:rowOff>4762</xdr:rowOff>
    </xdr:from>
    <xdr:ext cx="3933448" cy="42486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CuadroTexto 18">
              <a:extLst>
                <a:ext uri="{FF2B5EF4-FFF2-40B4-BE49-F238E27FC236}">
                  <a16:creationId xmlns:a16="http://schemas.microsoft.com/office/drawing/2014/main" id="{85E28413-DF02-48CD-B762-8E6865644459}"/>
                </a:ext>
              </a:extLst>
            </xdr:cNvPr>
            <xdr:cNvSpPr txBox="1"/>
          </xdr:nvSpPr>
          <xdr:spPr>
            <a:xfrm>
              <a:off x="371475" y="6862762"/>
              <a:ext cx="3933448" cy="4248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s-ES" sz="1050" b="0" i="0">
                        <a:latin typeface="Cambria Math" panose="02040503050406030204" pitchFamily="18" charset="0"/>
                      </a:rPr>
                      <m:t>yo</m:t>
                    </m:r>
                    <m:r>
                      <a:rPr lang="es-ES" sz="1050" b="0" i="0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s-PE" sz="105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</a:rPr>
                          <m:t>1∙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2∙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2+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3∙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3+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4∙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4+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As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5∙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d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5+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b</m:t>
                        </m:r>
                        <m: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h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∙</m:t>
                        </m:r>
                        <m:f>
                          <m:fPr>
                            <m:ctrlPr>
                              <a:rPr lang="es-ES" sz="105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m:rPr>
                                <m:sty m:val="p"/>
                              </m:rPr>
                              <a:rPr lang="es-ES" sz="1050" b="0" i="0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h</m:t>
                            </m:r>
                          </m:num>
                          <m:den>
                            <m:r>
                              <a:rPr lang="es-ES" sz="1050" b="0" i="0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num>
                      <m:den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1+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3+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4+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As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5+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b</m:t>
                        </m:r>
                        <m: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∙</m:t>
                        </m:r>
                        <m:r>
                          <m:rPr>
                            <m:sty m:val="p"/>
                          </m:rPr>
                          <a:rPr lang="es-ES" sz="1050" b="0" i="0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</m:den>
                    </m:f>
                  </m:oMath>
                </m:oMathPara>
              </a14:m>
              <a:endParaRPr lang="es-PE" sz="1050" i="0"/>
            </a:p>
          </xdr:txBody>
        </xdr:sp>
      </mc:Choice>
      <mc:Fallback xmlns="">
        <xdr:sp macro="" textlink="">
          <xdr:nvSpPr>
            <xdr:cNvPr id="19" name="CuadroTexto 18">
              <a:extLst>
                <a:ext uri="{FF2B5EF4-FFF2-40B4-BE49-F238E27FC236}">
                  <a16:creationId xmlns:a16="http://schemas.microsoft.com/office/drawing/2014/main" id="{85E28413-DF02-48CD-B762-8E6865644459}"/>
                </a:ext>
              </a:extLst>
            </xdr:cNvPr>
            <xdr:cNvSpPr txBox="1"/>
          </xdr:nvSpPr>
          <xdr:spPr>
            <a:xfrm>
              <a:off x="371475" y="6862762"/>
              <a:ext cx="3933448" cy="4248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s-ES" sz="1050" b="0" i="0">
                  <a:latin typeface="Cambria Math" panose="02040503050406030204" pitchFamily="18" charset="0"/>
                </a:rPr>
                <a:t>yo=</a:t>
              </a:r>
              <a:r>
                <a:rPr lang="es-PE" sz="1050" i="0">
                  <a:latin typeface="Cambria Math" panose="02040503050406030204" pitchFamily="18" charset="0"/>
                </a:rPr>
                <a:t>(</a:t>
              </a:r>
              <a:r>
                <a:rPr lang="es-ES" sz="1050" b="0" i="0">
                  <a:latin typeface="Cambria Math" panose="02040503050406030204" pitchFamily="18" charset="0"/>
                </a:rPr>
                <a:t>As1∙</a:t>
              </a:r>
              <a:r>
                <a:rPr lang="es-ES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d1+As2∙d2+As3∙d3+As4∙d4+As5∙d5+b∙h</a:t>
              </a:r>
              <a:r>
                <a:rPr lang="es-ES" sz="105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∙</a:t>
              </a:r>
              <a:r>
                <a:rPr lang="es-ES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h/2</a:t>
              </a:r>
              <a:r>
                <a:rPr lang="es-PE" sz="105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)/(</a:t>
              </a:r>
              <a:r>
                <a:rPr lang="es-ES" sz="105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As1+As2+As3+As4+As5+b∙h</a:t>
              </a:r>
              <a:r>
                <a:rPr lang="es-PE" sz="105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)</a:t>
              </a:r>
              <a:endParaRPr lang="es-PE" sz="1050" i="0"/>
            </a:p>
          </xdr:txBody>
        </xdr:sp>
      </mc:Fallback>
    </mc:AlternateContent>
    <xdr:clientData/>
  </xdr:oneCellAnchor>
  <xdr:twoCellAnchor editAs="oneCell">
    <xdr:from>
      <xdr:col>5</xdr:col>
      <xdr:colOff>0</xdr:colOff>
      <xdr:row>125</xdr:row>
      <xdr:rowOff>0</xdr:rowOff>
    </xdr:from>
    <xdr:to>
      <xdr:col>16</xdr:col>
      <xdr:colOff>358140</xdr:colOff>
      <xdr:row>160</xdr:row>
      <xdr:rowOff>170948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03A77E0-D066-4064-94A3-AAC0998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8860" y="22357080"/>
          <a:ext cx="6553200" cy="6305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647700</xdr:colOff>
      <xdr:row>20</xdr:row>
      <xdr:rowOff>106680</xdr:rowOff>
    </xdr:from>
    <xdr:to>
      <xdr:col>24</xdr:col>
      <xdr:colOff>568761</xdr:colOff>
      <xdr:row>29</xdr:row>
      <xdr:rowOff>91440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BF35B1C-51ED-495C-91F4-F7A8060576E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36" r="10019" b="35387"/>
        <a:stretch/>
      </xdr:blipFill>
      <xdr:spPr bwMode="auto">
        <a:xfrm>
          <a:off x="12070080" y="3901440"/>
          <a:ext cx="2001321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3</xdr:row>
      <xdr:rowOff>8467</xdr:rowOff>
    </xdr:from>
    <xdr:to>
      <xdr:col>8</xdr:col>
      <xdr:colOff>748655</xdr:colOff>
      <xdr:row>15</xdr:row>
      <xdr:rowOff>188151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D0EEFF1-3D35-4036-A25A-4CB2D63D8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579967"/>
          <a:ext cx="6073130" cy="2465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16</xdr:row>
      <xdr:rowOff>25764</xdr:rowOff>
    </xdr:from>
    <xdr:to>
      <xdr:col>8</xdr:col>
      <xdr:colOff>752474</xdr:colOff>
      <xdr:row>25</xdr:row>
      <xdr:rowOff>68925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91533B8-F3CB-4E07-ABDD-9C10642C38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3073764"/>
          <a:ext cx="6076949" cy="1757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16847</xdr:colOff>
      <xdr:row>25</xdr:row>
      <xdr:rowOff>104775</xdr:rowOff>
    </xdr:from>
    <xdr:to>
      <xdr:col>9</xdr:col>
      <xdr:colOff>0</xdr:colOff>
      <xdr:row>36</xdr:row>
      <xdr:rowOff>93184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0344D64-9A18-4CD1-9C40-D000F554F5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847" y="4867275"/>
          <a:ext cx="6079153" cy="2083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17166</xdr:colOff>
      <xdr:row>36</xdr:row>
      <xdr:rowOff>161925</xdr:rowOff>
    </xdr:from>
    <xdr:to>
      <xdr:col>9</xdr:col>
      <xdr:colOff>1</xdr:colOff>
      <xdr:row>50</xdr:row>
      <xdr:rowOff>161924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5DC29509-2759-4D9F-ABFA-D35BFDBA74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0361" t="36972" r="14023" b="4050"/>
        <a:stretch/>
      </xdr:blipFill>
      <xdr:spPr>
        <a:xfrm>
          <a:off x="779166" y="7019925"/>
          <a:ext cx="6078835" cy="2666999"/>
        </a:xfrm>
        <a:prstGeom prst="rect">
          <a:avLst/>
        </a:prstGeom>
      </xdr:spPr>
    </xdr:pic>
    <xdr:clientData/>
  </xdr:twoCellAnchor>
  <xdr:twoCellAnchor editAs="oneCell">
    <xdr:from>
      <xdr:col>1</xdr:col>
      <xdr:colOff>9524</xdr:colOff>
      <xdr:row>51</xdr:row>
      <xdr:rowOff>20305</xdr:rowOff>
    </xdr:from>
    <xdr:to>
      <xdr:col>8</xdr:col>
      <xdr:colOff>752475</xdr:colOff>
      <xdr:row>59</xdr:row>
      <xdr:rowOff>16357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988F2212-57A3-40E3-B2E1-FA13F11CEC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4" y="9735805"/>
          <a:ext cx="6076951" cy="1520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59</xdr:row>
      <xdr:rowOff>58625</xdr:rowOff>
    </xdr:from>
    <xdr:to>
      <xdr:col>8</xdr:col>
      <xdr:colOff>742950</xdr:colOff>
      <xdr:row>61</xdr:row>
      <xdr:rowOff>135851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090A1D3-9633-483E-A0F1-051A332636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11298125"/>
          <a:ext cx="6067425" cy="458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61</xdr:row>
      <xdr:rowOff>142875</xdr:rowOff>
    </xdr:from>
    <xdr:to>
      <xdr:col>8</xdr:col>
      <xdr:colOff>696514</xdr:colOff>
      <xdr:row>75</xdr:row>
      <xdr:rowOff>38100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78EA8E5-C844-4BF6-A9BB-007A32514B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0685" t="38578" r="13804" b="4023"/>
        <a:stretch/>
      </xdr:blipFill>
      <xdr:spPr>
        <a:xfrm>
          <a:off x="800100" y="11763375"/>
          <a:ext cx="5992414" cy="2562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8</xdr:col>
      <xdr:colOff>687917</xdr:colOff>
      <xdr:row>88</xdr:row>
      <xdr:rowOff>121479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70A138D-02F5-4F6A-AB22-A55B4F5AA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478000"/>
          <a:ext cx="6021917" cy="2407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8</xdr:col>
      <xdr:colOff>677333</xdr:colOff>
      <xdr:row>102</xdr:row>
      <xdr:rowOff>115425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7A99EF09-86E7-49CB-ACB1-75782C5420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954500"/>
          <a:ext cx="6011333" cy="2591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103</xdr:row>
      <xdr:rowOff>0</xdr:rowOff>
    </xdr:from>
    <xdr:to>
      <xdr:col>8</xdr:col>
      <xdr:colOff>637295</xdr:colOff>
      <xdr:row>115</xdr:row>
      <xdr:rowOff>179917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4EEE49C-9017-452C-88D8-BD8E7A402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1" y="19621500"/>
          <a:ext cx="5971294" cy="246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116</xdr:row>
      <xdr:rowOff>1</xdr:rowOff>
    </xdr:from>
    <xdr:to>
      <xdr:col>8</xdr:col>
      <xdr:colOff>624417</xdr:colOff>
      <xdr:row>126</xdr:row>
      <xdr:rowOff>183485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F789D6F0-0DC6-4ED9-88D5-2136B27F40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2098001"/>
          <a:ext cx="5958417" cy="2088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8</xdr:col>
      <xdr:colOff>613833</xdr:colOff>
      <xdr:row>129</xdr:row>
      <xdr:rowOff>122352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8121788-6A7B-45B7-8D04-A22BCC1E28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193500"/>
          <a:ext cx="5947833" cy="5033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10583</xdr:colOff>
      <xdr:row>0</xdr:row>
      <xdr:rowOff>74083</xdr:rowOff>
    </xdr:from>
    <xdr:to>
      <xdr:col>9</xdr:col>
      <xdr:colOff>10583</xdr:colOff>
      <xdr:row>2</xdr:row>
      <xdr:rowOff>133814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E8C0C18-AD8F-4048-B1AD-DB7435D733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0244" t="27472" r="13705" b="62753"/>
        <a:stretch/>
      </xdr:blipFill>
      <xdr:spPr>
        <a:xfrm>
          <a:off x="772583" y="74083"/>
          <a:ext cx="6096000" cy="440731"/>
        </a:xfrm>
        <a:prstGeom prst="rect">
          <a:avLst/>
        </a:prstGeom>
      </xdr:spPr>
    </xdr:pic>
    <xdr:clientData/>
  </xdr:twoCellAnchor>
  <xdr:twoCellAnchor editAs="oneCell">
    <xdr:from>
      <xdr:col>10</xdr:col>
      <xdr:colOff>389466</xdr:colOff>
      <xdr:row>97</xdr:row>
      <xdr:rowOff>17435</xdr:rowOff>
    </xdr:from>
    <xdr:to>
      <xdr:col>17</xdr:col>
      <xdr:colOff>188383</xdr:colOff>
      <xdr:row>109</xdr:row>
      <xdr:rowOff>145215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B1812880-36B0-4C8F-8F77-A6331B877C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0601" t="32517" r="13882" b="4350"/>
        <a:stretch/>
      </xdr:blipFill>
      <xdr:spPr>
        <a:xfrm>
          <a:off x="8009466" y="18495935"/>
          <a:ext cx="5132917" cy="2413780"/>
        </a:xfrm>
        <a:prstGeom prst="rect">
          <a:avLst/>
        </a:prstGeom>
      </xdr:spPr>
    </xdr:pic>
    <xdr:clientData/>
  </xdr:twoCellAnchor>
  <xdr:twoCellAnchor editAs="oneCell">
    <xdr:from>
      <xdr:col>10</xdr:col>
      <xdr:colOff>396423</xdr:colOff>
      <xdr:row>110</xdr:row>
      <xdr:rowOff>77596</xdr:rowOff>
    </xdr:from>
    <xdr:to>
      <xdr:col>17</xdr:col>
      <xdr:colOff>174173</xdr:colOff>
      <xdr:row>123</xdr:row>
      <xdr:rowOff>3658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8F0AB8C7-20E8-4181-B56D-E4298C8A8E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0186" t="32309" r="13589" b="4000"/>
        <a:stretch/>
      </xdr:blipFill>
      <xdr:spPr>
        <a:xfrm>
          <a:off x="8016423" y="21032596"/>
          <a:ext cx="5111750" cy="2402562"/>
        </a:xfrm>
        <a:prstGeom prst="rect">
          <a:avLst/>
        </a:prstGeom>
      </xdr:spPr>
    </xdr:pic>
    <xdr:clientData/>
  </xdr:twoCellAnchor>
  <xdr:twoCellAnchor editAs="oneCell">
    <xdr:from>
      <xdr:col>10</xdr:col>
      <xdr:colOff>390162</xdr:colOff>
      <xdr:row>123</xdr:row>
      <xdr:rowOff>189884</xdr:rowOff>
    </xdr:from>
    <xdr:to>
      <xdr:col>17</xdr:col>
      <xdr:colOff>189896</xdr:colOff>
      <xdr:row>136</xdr:row>
      <xdr:rowOff>114050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644BEA3F-5380-42C4-B8AE-17BA9F1285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0244" t="32205" r="13597" b="4481"/>
        <a:stretch/>
      </xdr:blipFill>
      <xdr:spPr>
        <a:xfrm>
          <a:off x="8010162" y="23621384"/>
          <a:ext cx="5133734" cy="2400666"/>
        </a:xfrm>
        <a:prstGeom prst="rect">
          <a:avLst/>
        </a:prstGeom>
      </xdr:spPr>
    </xdr:pic>
    <xdr:clientData/>
  </xdr:twoCellAnchor>
  <xdr:twoCellAnchor editAs="oneCell">
    <xdr:from>
      <xdr:col>10</xdr:col>
      <xdr:colOff>358321</xdr:colOff>
      <xdr:row>137</xdr:row>
      <xdr:rowOff>119261</xdr:rowOff>
    </xdr:from>
    <xdr:to>
      <xdr:col>17</xdr:col>
      <xdr:colOff>183696</xdr:colOff>
      <xdr:row>150</xdr:row>
      <xdr:rowOff>94741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8FC70246-BD2D-482C-84B6-7F27A0DAB6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0360" t="32308" r="13646" b="3487"/>
        <a:stretch/>
      </xdr:blipFill>
      <xdr:spPr>
        <a:xfrm>
          <a:off x="7978321" y="26217761"/>
          <a:ext cx="5159375" cy="2451980"/>
        </a:xfrm>
        <a:prstGeom prst="rect">
          <a:avLst/>
        </a:prstGeom>
      </xdr:spPr>
    </xdr:pic>
    <xdr:clientData/>
  </xdr:twoCellAnchor>
  <xdr:twoCellAnchor editAs="oneCell">
    <xdr:from>
      <xdr:col>10</xdr:col>
      <xdr:colOff>321469</xdr:colOff>
      <xdr:row>152</xdr:row>
      <xdr:rowOff>43135</xdr:rowOff>
    </xdr:from>
    <xdr:to>
      <xdr:col>17</xdr:col>
      <xdr:colOff>142875</xdr:colOff>
      <xdr:row>164</xdr:row>
      <xdr:rowOff>184766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7D0FEDA-5E10-48D3-A656-2679C9339E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10352" t="32527" r="13596" b="3807"/>
        <a:stretch/>
      </xdr:blipFill>
      <xdr:spPr>
        <a:xfrm>
          <a:off x="7941469" y="28999135"/>
          <a:ext cx="5155406" cy="2427631"/>
        </a:xfrm>
        <a:prstGeom prst="rect">
          <a:avLst/>
        </a:prstGeom>
      </xdr:spPr>
    </xdr:pic>
    <xdr:clientData/>
  </xdr:twoCellAnchor>
  <xdr:twoCellAnchor editAs="oneCell">
    <xdr:from>
      <xdr:col>10</xdr:col>
      <xdr:colOff>296975</xdr:colOff>
      <xdr:row>165</xdr:row>
      <xdr:rowOff>170305</xdr:rowOff>
    </xdr:from>
    <xdr:to>
      <xdr:col>17</xdr:col>
      <xdr:colOff>154101</xdr:colOff>
      <xdr:row>178</xdr:row>
      <xdr:rowOff>155346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32623A8E-C740-4856-B462-B6E0A6B4DC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0352" t="32527" r="13987" b="3691"/>
        <a:stretch/>
      </xdr:blipFill>
      <xdr:spPr>
        <a:xfrm>
          <a:off x="7916975" y="31602805"/>
          <a:ext cx="5191126" cy="2461541"/>
        </a:xfrm>
        <a:prstGeom prst="rect">
          <a:avLst/>
        </a:prstGeom>
      </xdr:spPr>
    </xdr:pic>
    <xdr:clientData/>
  </xdr:twoCellAnchor>
  <xdr:twoCellAnchor editAs="oneCell">
    <xdr:from>
      <xdr:col>10</xdr:col>
      <xdr:colOff>258876</xdr:colOff>
      <xdr:row>180</xdr:row>
      <xdr:rowOff>95396</xdr:rowOff>
    </xdr:from>
    <xdr:to>
      <xdr:col>17</xdr:col>
      <xdr:colOff>116001</xdr:colOff>
      <xdr:row>193</xdr:row>
      <xdr:rowOff>54458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823D58FD-DB86-48FD-A6F9-F28A212224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0288" t="32643" r="13661" b="3924"/>
        <a:stretch/>
      </xdr:blipFill>
      <xdr:spPr>
        <a:xfrm>
          <a:off x="7878876" y="34385396"/>
          <a:ext cx="5191125" cy="2435562"/>
        </a:xfrm>
        <a:prstGeom prst="rect">
          <a:avLst/>
        </a:prstGeom>
      </xdr:spPr>
    </xdr:pic>
    <xdr:clientData/>
  </xdr:twoCellAnchor>
  <xdr:twoCellAnchor editAs="oneCell">
    <xdr:from>
      <xdr:col>10</xdr:col>
      <xdr:colOff>73153</xdr:colOff>
      <xdr:row>193</xdr:row>
      <xdr:rowOff>176641</xdr:rowOff>
    </xdr:from>
    <xdr:to>
      <xdr:col>16</xdr:col>
      <xdr:colOff>716091</xdr:colOff>
      <xdr:row>206</xdr:row>
      <xdr:rowOff>155284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E71ADAA-1FF3-4CC4-ABC6-3601CBB035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10483" t="32643" r="13727" b="3924"/>
        <a:stretch/>
      </xdr:blipFill>
      <xdr:spPr>
        <a:xfrm>
          <a:off x="7693153" y="36943141"/>
          <a:ext cx="5214938" cy="2455143"/>
        </a:xfrm>
        <a:prstGeom prst="rect">
          <a:avLst/>
        </a:prstGeom>
      </xdr:spPr>
    </xdr:pic>
    <xdr:clientData/>
  </xdr:twoCellAnchor>
  <xdr:twoCellAnchor editAs="oneCell">
    <xdr:from>
      <xdr:col>9</xdr:col>
      <xdr:colOff>511969</xdr:colOff>
      <xdr:row>0</xdr:row>
      <xdr:rowOff>0</xdr:rowOff>
    </xdr:from>
    <xdr:to>
      <xdr:col>16</xdr:col>
      <xdr:colOff>381001</xdr:colOff>
      <xdr:row>13</xdr:row>
      <xdr:rowOff>185515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D8A34C93-8A7F-42B8-92B5-5576FCB62D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10151" t="27356" r="14187" b="3824"/>
        <a:stretch/>
      </xdr:blipFill>
      <xdr:spPr>
        <a:xfrm>
          <a:off x="7369969" y="0"/>
          <a:ext cx="5203032" cy="2662015"/>
        </a:xfrm>
        <a:prstGeom prst="rect">
          <a:avLst/>
        </a:prstGeom>
      </xdr:spPr>
    </xdr:pic>
    <xdr:clientData/>
  </xdr:twoCellAnchor>
  <xdr:twoCellAnchor editAs="oneCell">
    <xdr:from>
      <xdr:col>9</xdr:col>
      <xdr:colOff>521805</xdr:colOff>
      <xdr:row>14</xdr:row>
      <xdr:rowOff>40894</xdr:rowOff>
    </xdr:from>
    <xdr:to>
      <xdr:col>16</xdr:col>
      <xdr:colOff>364435</xdr:colOff>
      <xdr:row>26</xdr:row>
      <xdr:rowOff>175378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9E427E7D-5A92-47B1-9CC7-6B9BD319CF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10134" t="32964" r="13823" b="3825"/>
        <a:stretch/>
      </xdr:blipFill>
      <xdr:spPr>
        <a:xfrm>
          <a:off x="7379805" y="2707894"/>
          <a:ext cx="5176630" cy="2420484"/>
        </a:xfrm>
        <a:prstGeom prst="rect">
          <a:avLst/>
        </a:prstGeom>
      </xdr:spPr>
    </xdr:pic>
    <xdr:clientData/>
  </xdr:twoCellAnchor>
  <xdr:twoCellAnchor editAs="oneCell">
    <xdr:from>
      <xdr:col>9</xdr:col>
      <xdr:colOff>505239</xdr:colOff>
      <xdr:row>27</xdr:row>
      <xdr:rowOff>8283</xdr:rowOff>
    </xdr:from>
    <xdr:to>
      <xdr:col>16</xdr:col>
      <xdr:colOff>347870</xdr:colOff>
      <xdr:row>37</xdr:row>
      <xdr:rowOff>164589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C26D2D27-0A45-46D7-8053-BB7B47787A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10504" t="31991" r="13798" b="14422"/>
        <a:stretch/>
      </xdr:blipFill>
      <xdr:spPr>
        <a:xfrm>
          <a:off x="7363239" y="5151783"/>
          <a:ext cx="5176631" cy="2061306"/>
        </a:xfrm>
        <a:prstGeom prst="rect">
          <a:avLst/>
        </a:prstGeom>
      </xdr:spPr>
    </xdr:pic>
    <xdr:clientData/>
  </xdr:twoCellAnchor>
  <xdr:twoCellAnchor editAs="oneCell">
    <xdr:from>
      <xdr:col>9</xdr:col>
      <xdr:colOff>646043</xdr:colOff>
      <xdr:row>38</xdr:row>
      <xdr:rowOff>36359</xdr:rowOff>
    </xdr:from>
    <xdr:to>
      <xdr:col>16</xdr:col>
      <xdr:colOff>347871</xdr:colOff>
      <xdr:row>47</xdr:row>
      <xdr:rowOff>23485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3FAE9FBA-0315-4A83-95BA-98C2DE6160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10315" t="32239" r="13804" b="22177"/>
        <a:stretch/>
      </xdr:blipFill>
      <xdr:spPr>
        <a:xfrm>
          <a:off x="7504043" y="7275359"/>
          <a:ext cx="5035828" cy="1701626"/>
        </a:xfrm>
        <a:prstGeom prst="rect">
          <a:avLst/>
        </a:prstGeom>
      </xdr:spPr>
    </xdr:pic>
    <xdr:clientData/>
  </xdr:twoCellAnchor>
  <xdr:twoCellAnchor editAs="oneCell">
    <xdr:from>
      <xdr:col>9</xdr:col>
      <xdr:colOff>670893</xdr:colOff>
      <xdr:row>47</xdr:row>
      <xdr:rowOff>91108</xdr:rowOff>
    </xdr:from>
    <xdr:to>
      <xdr:col>16</xdr:col>
      <xdr:colOff>356152</xdr:colOff>
      <xdr:row>59</xdr:row>
      <xdr:rowOff>152499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630E6563-236D-4578-A0A4-2D800A37CD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10354" t="32071" r="13968" b="5008"/>
        <a:stretch/>
      </xdr:blipFill>
      <xdr:spPr>
        <a:xfrm>
          <a:off x="7528893" y="9044608"/>
          <a:ext cx="5019259" cy="2347391"/>
        </a:xfrm>
        <a:prstGeom prst="rect">
          <a:avLst/>
        </a:prstGeom>
      </xdr:spPr>
    </xdr:pic>
    <xdr:clientData/>
  </xdr:twoCellAnchor>
  <xdr:twoCellAnchor editAs="oneCell">
    <xdr:from>
      <xdr:col>9</xdr:col>
      <xdr:colOff>753718</xdr:colOff>
      <xdr:row>60</xdr:row>
      <xdr:rowOff>18459</xdr:rowOff>
    </xdr:from>
    <xdr:to>
      <xdr:col>16</xdr:col>
      <xdr:colOff>392358</xdr:colOff>
      <xdr:row>69</xdr:row>
      <xdr:rowOff>124239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55B5BB3D-58AF-4A4F-B399-5F506AC1FA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10551" t="32687" r="14217" b="18354"/>
        <a:stretch/>
      </xdr:blipFill>
      <xdr:spPr>
        <a:xfrm>
          <a:off x="7611718" y="11448459"/>
          <a:ext cx="4972640" cy="1820280"/>
        </a:xfrm>
        <a:prstGeom prst="rect">
          <a:avLst/>
        </a:prstGeom>
      </xdr:spPr>
    </xdr:pic>
    <xdr:clientData/>
  </xdr:twoCellAnchor>
  <xdr:twoCellAnchor editAs="oneCell">
    <xdr:from>
      <xdr:col>10</xdr:col>
      <xdr:colOff>108858</xdr:colOff>
      <xdr:row>70</xdr:row>
      <xdr:rowOff>31847</xdr:rowOff>
    </xdr:from>
    <xdr:to>
      <xdr:col>16</xdr:col>
      <xdr:colOff>489857</xdr:colOff>
      <xdr:row>82</xdr:row>
      <xdr:rowOff>61970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E2530E42-45A7-4263-B883-24B3640DF1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10753" t="32342" r="14193" b="5264"/>
        <a:stretch/>
      </xdr:blipFill>
      <xdr:spPr>
        <a:xfrm>
          <a:off x="7728858" y="13366847"/>
          <a:ext cx="4952999" cy="2316123"/>
        </a:xfrm>
        <a:prstGeom prst="rect">
          <a:avLst/>
        </a:prstGeom>
      </xdr:spPr>
    </xdr:pic>
    <xdr:clientData/>
  </xdr:twoCellAnchor>
  <xdr:twoCellAnchor editAs="oneCell">
    <xdr:from>
      <xdr:col>10</xdr:col>
      <xdr:colOff>163286</xdr:colOff>
      <xdr:row>83</xdr:row>
      <xdr:rowOff>177766</xdr:rowOff>
    </xdr:from>
    <xdr:to>
      <xdr:col>16</xdr:col>
      <xdr:colOff>489857</xdr:colOff>
      <xdr:row>95</xdr:row>
      <xdr:rowOff>101683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D014301-25E4-4CCA-A329-AFE11F90E0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10716" t="32015" r="13903" b="7528"/>
        <a:stretch/>
      </xdr:blipFill>
      <xdr:spPr>
        <a:xfrm>
          <a:off x="7783286" y="15989266"/>
          <a:ext cx="4898571" cy="2209917"/>
        </a:xfrm>
        <a:prstGeom prst="rect">
          <a:avLst/>
        </a:prstGeom>
      </xdr:spPr>
    </xdr:pic>
    <xdr:clientData/>
  </xdr:twoCellAnchor>
  <xdr:twoCellAnchor editAs="oneCell">
    <xdr:from>
      <xdr:col>2</xdr:col>
      <xdr:colOff>311426</xdr:colOff>
      <xdr:row>142</xdr:row>
      <xdr:rowOff>59635</xdr:rowOff>
    </xdr:from>
    <xdr:to>
      <xdr:col>9</xdr:col>
      <xdr:colOff>390133</xdr:colOff>
      <xdr:row>171</xdr:row>
      <xdr:rowOff>20873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7F12F3-E59B-42DF-A19F-01D78BC11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5183" y="26404957"/>
          <a:ext cx="5551854" cy="5341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F667B-73E4-41FC-8EDB-E159F8FE63E7}">
  <dimension ref="B1:AM123"/>
  <sheetViews>
    <sheetView topLeftCell="A2" zoomScaleNormal="100" workbookViewId="0">
      <selection activeCell="S25" sqref="S25"/>
    </sheetView>
  </sheetViews>
  <sheetFormatPr defaultColWidth="9.6640625" defaultRowHeight="13.8" x14ac:dyDescent="0.3"/>
  <cols>
    <col min="1" max="1" width="3" style="11" customWidth="1"/>
    <col min="2" max="5" width="7.6640625" style="11" customWidth="1"/>
    <col min="6" max="8" width="9.6640625" style="11"/>
    <col min="9" max="16" width="7.6640625" style="11" customWidth="1"/>
    <col min="17" max="17" width="8.6640625" style="11" customWidth="1"/>
    <col min="18" max="18" width="8.109375" style="11" customWidth="1"/>
    <col min="19" max="19" width="7.6640625" style="11" customWidth="1"/>
    <col min="20" max="20" width="9.6640625" style="11"/>
    <col min="21" max="21" width="2.21875" style="61" customWidth="1"/>
    <col min="22" max="22" width="11" style="11" bestFit="1" customWidth="1"/>
    <col min="23" max="23" width="9.6640625" style="11"/>
    <col min="24" max="24" width="9.6640625" style="11" customWidth="1"/>
    <col min="25" max="16384" width="9.6640625" style="11"/>
  </cols>
  <sheetData>
    <row r="1" spans="2:39" ht="36.6" x14ac:dyDescent="0.3">
      <c r="B1" s="56" t="s">
        <v>72</v>
      </c>
      <c r="C1" s="56"/>
      <c r="D1" s="56"/>
      <c r="E1" s="56"/>
      <c r="F1" s="56"/>
      <c r="G1" s="56"/>
      <c r="H1" s="56"/>
      <c r="I1" s="5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  <c r="AJ1" s="57" t="s">
        <v>54</v>
      </c>
      <c r="AK1" s="57"/>
      <c r="AL1" s="57"/>
      <c r="AM1" s="57"/>
    </row>
    <row r="2" spans="2:39" x14ac:dyDescent="0.3">
      <c r="B2" s="43" t="s">
        <v>73</v>
      </c>
      <c r="E2" s="13"/>
      <c r="AJ2" s="14"/>
      <c r="AK2" s="14"/>
      <c r="AL2" s="14"/>
      <c r="AM2" s="14"/>
    </row>
    <row r="3" spans="2:39" x14ac:dyDescent="0.3">
      <c r="E3" s="13"/>
      <c r="AJ3" s="14"/>
      <c r="AK3" s="14"/>
      <c r="AL3" s="14"/>
      <c r="AM3" s="14"/>
    </row>
    <row r="4" spans="2:39" x14ac:dyDescent="0.3">
      <c r="B4" s="15" t="s">
        <v>26</v>
      </c>
      <c r="C4" s="48">
        <v>210</v>
      </c>
      <c r="D4" s="13" t="s">
        <v>24</v>
      </c>
      <c r="E4" s="13" t="s">
        <v>86</v>
      </c>
      <c r="AJ4" s="57" t="s">
        <v>55</v>
      </c>
      <c r="AK4" s="57"/>
      <c r="AL4" s="57"/>
      <c r="AM4" s="57"/>
    </row>
    <row r="5" spans="2:39" x14ac:dyDescent="0.3">
      <c r="B5" s="15" t="s">
        <v>27</v>
      </c>
      <c r="C5" s="48">
        <v>0.85</v>
      </c>
      <c r="D5" s="13"/>
      <c r="E5" s="13"/>
      <c r="N5" s="58" t="s">
        <v>74</v>
      </c>
      <c r="O5" s="59"/>
      <c r="P5" s="59"/>
      <c r="Q5" s="59"/>
      <c r="R5" s="59"/>
      <c r="S5" s="60"/>
      <c r="AJ5" s="14" t="s">
        <v>56</v>
      </c>
      <c r="AK5" s="14" t="s">
        <v>57</v>
      </c>
      <c r="AL5" s="14" t="s">
        <v>57</v>
      </c>
      <c r="AM5" s="14" t="s">
        <v>58</v>
      </c>
    </row>
    <row r="6" spans="2:39" x14ac:dyDescent="0.3">
      <c r="B6" s="15" t="s">
        <v>28</v>
      </c>
      <c r="C6" s="48">
        <v>4200</v>
      </c>
      <c r="D6" s="13" t="s">
        <v>24</v>
      </c>
      <c r="E6" s="13" t="s">
        <v>87</v>
      </c>
      <c r="N6" s="14" t="s">
        <v>71</v>
      </c>
      <c r="O6" s="16" t="s">
        <v>21</v>
      </c>
      <c r="P6" s="14"/>
      <c r="Q6" s="14" t="s">
        <v>71</v>
      </c>
      <c r="R6" s="16" t="s">
        <v>21</v>
      </c>
      <c r="S6" s="14"/>
      <c r="AJ6" s="14"/>
      <c r="AK6" s="14" t="s">
        <v>70</v>
      </c>
      <c r="AL6" s="14" t="s">
        <v>25</v>
      </c>
      <c r="AM6" s="14" t="s">
        <v>59</v>
      </c>
    </row>
    <row r="7" spans="2:39" x14ac:dyDescent="0.3">
      <c r="B7" s="15" t="s">
        <v>29</v>
      </c>
      <c r="C7" s="48">
        <v>2000000</v>
      </c>
      <c r="D7" s="13" t="s">
        <v>24</v>
      </c>
      <c r="E7" s="13" t="s">
        <v>85</v>
      </c>
      <c r="N7" s="17"/>
      <c r="O7" s="17"/>
      <c r="P7" s="18"/>
      <c r="Q7" s="17"/>
      <c r="R7" s="17"/>
      <c r="S7" s="18"/>
      <c r="AJ7" s="14">
        <v>2</v>
      </c>
      <c r="AK7" s="14" t="s">
        <v>60</v>
      </c>
      <c r="AL7" s="14">
        <v>0.8</v>
      </c>
      <c r="AM7" s="14">
        <v>0.50265482457436694</v>
      </c>
    </row>
    <row r="8" spans="2:39" x14ac:dyDescent="0.3">
      <c r="B8" s="15" t="s">
        <v>30</v>
      </c>
      <c r="C8" s="48">
        <v>25</v>
      </c>
      <c r="D8" s="13" t="s">
        <v>25</v>
      </c>
      <c r="E8" s="13" t="s">
        <v>37</v>
      </c>
      <c r="N8" s="6">
        <v>2</v>
      </c>
      <c r="O8" s="6">
        <v>5</v>
      </c>
      <c r="P8" s="7" t="str">
        <f>LOOKUP(O8,$AJ$7:$AJ$16,$AK$7:$AK$16)</f>
        <v>5/8"</v>
      </c>
      <c r="Q8" s="49">
        <v>2</v>
      </c>
      <c r="R8" s="49">
        <v>4</v>
      </c>
      <c r="S8" s="50" t="str">
        <f>LOOKUP(R8,$AJ$7:$AJ$16,$AK$7:$AK$16)</f>
        <v>1/2"</v>
      </c>
      <c r="W8" s="20" t="s">
        <v>92</v>
      </c>
      <c r="AJ8" s="14">
        <v>3</v>
      </c>
      <c r="AK8" s="14" t="s">
        <v>61</v>
      </c>
      <c r="AL8" s="14">
        <v>0.95250000000000001</v>
      </c>
      <c r="AM8" s="14">
        <v>0.71255739248085614</v>
      </c>
    </row>
    <row r="9" spans="2:39" x14ac:dyDescent="0.3">
      <c r="B9" s="15" t="s">
        <v>31</v>
      </c>
      <c r="C9" s="48">
        <v>35</v>
      </c>
      <c r="D9" s="13" t="s">
        <v>25</v>
      </c>
      <c r="E9" s="13" t="s">
        <v>36</v>
      </c>
      <c r="N9" s="8"/>
      <c r="O9" s="4">
        <f>IF(N8=0,0,LOOKUP(O8,$AJ$7:$AJ$16,$AL$7:$AL$16))</f>
        <v>1.5874999999999999</v>
      </c>
      <c r="P9" s="3">
        <f>IF(N8=0,0,LOOKUP(O8,$AJ$7:$AJ$16,$AM$7:$AM$16))</f>
        <v>1.9793260902246004</v>
      </c>
      <c r="Q9" s="4"/>
      <c r="R9" s="4">
        <f>IF(Q8=0,0,LOOKUP(R8,$AJ$7:$AJ$16,$AL$7:$AL$16))</f>
        <v>1.27</v>
      </c>
      <c r="S9" s="3">
        <f>IF(Q8=0,0,LOOKUP(R8,$AJ$7:$AJ$16,$AM$7:$AM$16))</f>
        <v>1.2667686977437445</v>
      </c>
      <c r="W9" s="20" t="s">
        <v>91</v>
      </c>
      <c r="AJ9" s="14">
        <v>4</v>
      </c>
      <c r="AK9" s="14" t="s">
        <v>62</v>
      </c>
      <c r="AL9" s="14">
        <v>1.27</v>
      </c>
      <c r="AM9" s="14">
        <v>1.2667686977437445</v>
      </c>
    </row>
    <row r="10" spans="2:39" x14ac:dyDescent="0.3">
      <c r="B10" s="15" t="s">
        <v>32</v>
      </c>
      <c r="C10" s="48">
        <v>35</v>
      </c>
      <c r="D10" s="13"/>
      <c r="E10" s="13" t="s">
        <v>38</v>
      </c>
      <c r="N10" s="9">
        <v>2</v>
      </c>
      <c r="O10" s="9">
        <v>5</v>
      </c>
      <c r="P10" s="10" t="str">
        <f>LOOKUP(O10,$AJ$7:$AJ$16,$AK$7:$AK$16)</f>
        <v>5/8"</v>
      </c>
      <c r="Q10" s="52">
        <v>2</v>
      </c>
      <c r="R10" s="52">
        <v>4</v>
      </c>
      <c r="S10" s="53" t="str">
        <f>LOOKUP(R10,$AJ$7:$AJ$16,$AK$7:$AK$16)</f>
        <v>1/2"</v>
      </c>
      <c r="W10" s="20" t="s">
        <v>88</v>
      </c>
      <c r="AJ10" s="14">
        <v>5</v>
      </c>
      <c r="AK10" s="14" t="s">
        <v>63</v>
      </c>
      <c r="AL10" s="14">
        <v>1.5874999999999999</v>
      </c>
      <c r="AM10" s="14">
        <v>1.9793260902246004</v>
      </c>
    </row>
    <row r="11" spans="2:39" x14ac:dyDescent="0.3">
      <c r="B11" s="15" t="s">
        <v>39</v>
      </c>
      <c r="C11" s="47">
        <v>4</v>
      </c>
      <c r="D11" s="13" t="s">
        <v>25</v>
      </c>
      <c r="E11" s="13" t="s">
        <v>40</v>
      </c>
      <c r="O11" s="2">
        <f>IF(N10=0,0,LOOKUP(O10,$AJ$7:$AJ$16,$AL$7:$AL$16))</f>
        <v>1.5874999999999999</v>
      </c>
      <c r="P11" s="2">
        <f>IF(N10=0,0,LOOKUP(O10,$AJ$7:$AJ$16,$AM$7:$AM$16))</f>
        <v>1.9793260902246004</v>
      </c>
      <c r="Q11" s="2"/>
      <c r="R11" s="2">
        <f>IF(Q10=0,0,LOOKUP(R10,$AJ$7:$AJ$16,$AL$7:$AL$16))</f>
        <v>1.27</v>
      </c>
      <c r="S11" s="2">
        <f>IF(Q10=0,0,LOOKUP(R10,$AJ$7:$AJ$16,$AM$7:$AM$16))</f>
        <v>1.2667686977437445</v>
      </c>
      <c r="W11" s="20" t="s">
        <v>90</v>
      </c>
      <c r="AJ11" s="14">
        <v>6</v>
      </c>
      <c r="AK11" s="14" t="s">
        <v>64</v>
      </c>
      <c r="AL11" s="14">
        <v>1.905</v>
      </c>
      <c r="AM11" s="14">
        <v>2.8502295699234246</v>
      </c>
    </row>
    <row r="12" spans="2:39" x14ac:dyDescent="0.3">
      <c r="B12" s="15" t="s">
        <v>33</v>
      </c>
      <c r="C12" s="48">
        <v>3.0000000000000001E-3</v>
      </c>
      <c r="D12" s="13"/>
      <c r="E12" s="13" t="s">
        <v>101</v>
      </c>
      <c r="W12" s="20" t="s">
        <v>93</v>
      </c>
      <c r="AJ12" s="14">
        <v>7</v>
      </c>
      <c r="AK12" s="14" t="s">
        <v>65</v>
      </c>
      <c r="AL12" s="14">
        <v>2.2225000000000001</v>
      </c>
      <c r="AM12" s="14">
        <v>3.8794791368402173</v>
      </c>
    </row>
    <row r="13" spans="2:39" x14ac:dyDescent="0.3">
      <c r="B13" s="15" t="s">
        <v>34</v>
      </c>
      <c r="C13" s="11">
        <f>C6/C7</f>
        <v>2.0999999999999999E-3</v>
      </c>
      <c r="D13" s="13"/>
      <c r="E13" s="13" t="s">
        <v>89</v>
      </c>
      <c r="W13" s="20" t="s">
        <v>94</v>
      </c>
      <c r="AJ13" s="14">
        <v>8</v>
      </c>
      <c r="AK13" s="14" t="s">
        <v>66</v>
      </c>
      <c r="AL13" s="14">
        <v>2.54</v>
      </c>
      <c r="AM13" s="14">
        <v>5.0670747909749778</v>
      </c>
    </row>
    <row r="14" spans="2:39" x14ac:dyDescent="0.3">
      <c r="E14" s="13"/>
      <c r="W14" s="20" t="s">
        <v>95</v>
      </c>
      <c r="AJ14" s="14">
        <v>9</v>
      </c>
      <c r="AK14" s="14" t="s">
        <v>67</v>
      </c>
      <c r="AL14" s="14">
        <v>2.8574999999999999</v>
      </c>
      <c r="AM14" s="14">
        <v>6.4130165323277053</v>
      </c>
    </row>
    <row r="15" spans="2:39" x14ac:dyDescent="0.3">
      <c r="B15" s="43" t="s">
        <v>76</v>
      </c>
      <c r="W15" s="20" t="s">
        <v>96</v>
      </c>
      <c r="AJ15" s="14">
        <v>10</v>
      </c>
      <c r="AK15" s="14" t="s">
        <v>68</v>
      </c>
      <c r="AL15" s="14">
        <v>3.1749999999999998</v>
      </c>
      <c r="AM15" s="14">
        <v>7.9173043608984015</v>
      </c>
    </row>
    <row r="16" spans="2:39" x14ac:dyDescent="0.3">
      <c r="W16" s="20" t="s">
        <v>97</v>
      </c>
      <c r="AJ16" s="14">
        <v>11</v>
      </c>
      <c r="AK16" s="14" t="s">
        <v>69</v>
      </c>
      <c r="AL16" s="14">
        <v>3.4925000000000002</v>
      </c>
      <c r="AM16" s="14">
        <v>9.5799382766870682</v>
      </c>
    </row>
    <row r="17" spans="2:23" x14ac:dyDescent="0.3">
      <c r="B17" s="15" t="s">
        <v>41</v>
      </c>
      <c r="C17" s="19">
        <f>N8*P9+Q8*S9</f>
        <v>6.4921895759366901</v>
      </c>
      <c r="D17" s="20" t="s">
        <v>59</v>
      </c>
      <c r="K17" s="58" t="s">
        <v>75</v>
      </c>
      <c r="L17" s="59"/>
      <c r="M17" s="60"/>
      <c r="W17" s="20" t="s">
        <v>98</v>
      </c>
    </row>
    <row r="18" spans="2:23" x14ac:dyDescent="0.3">
      <c r="B18" s="15" t="s">
        <v>42</v>
      </c>
      <c r="C18" s="19">
        <f>N10*P11+Q10*S11</f>
        <v>6.4921895759366901</v>
      </c>
      <c r="D18" s="20" t="s">
        <v>59</v>
      </c>
      <c r="K18" s="14" t="s">
        <v>71</v>
      </c>
      <c r="L18" s="16" t="s">
        <v>21</v>
      </c>
      <c r="M18" s="14"/>
    </row>
    <row r="19" spans="2:23" x14ac:dyDescent="0.3">
      <c r="B19" s="15"/>
      <c r="C19" s="19"/>
      <c r="D19" s="20"/>
      <c r="K19" s="39">
        <v>1</v>
      </c>
      <c r="L19" s="41">
        <v>3</v>
      </c>
      <c r="M19" s="40" t="str">
        <f>LOOKUP(L19,$AJ$7:$AJ$16,$AK$7:$AK$16)</f>
        <v>3/8"</v>
      </c>
    </row>
    <row r="20" spans="2:23" x14ac:dyDescent="0.3">
      <c r="B20" s="43" t="s">
        <v>82</v>
      </c>
      <c r="K20" s="21"/>
      <c r="L20" s="2">
        <f>IF(K19=0,0,LOOKUP(L19,$AJ$7:$AJ$16,$AL$7:$AL$16))</f>
        <v>0.95250000000000001</v>
      </c>
      <c r="M20" s="2">
        <f>IF(K19=0,0,LOOKUP(L19,$AJ$7:$AJ$16,$AM$7:$AM$16))</f>
        <v>0.71255739248085614</v>
      </c>
    </row>
    <row r="21" spans="2:23" x14ac:dyDescent="0.3">
      <c r="E21" s="22"/>
      <c r="F21" s="22"/>
      <c r="G21" s="23"/>
      <c r="K21" s="21"/>
      <c r="L21" s="21"/>
      <c r="M21" s="21"/>
    </row>
    <row r="22" spans="2:23" x14ac:dyDescent="0.3">
      <c r="B22" s="15" t="s">
        <v>77</v>
      </c>
      <c r="C22" s="5">
        <f>C11+L20+MAX(O9,R9)/2</f>
        <v>5.7462499999999999</v>
      </c>
      <c r="D22" s="13" t="s">
        <v>25</v>
      </c>
      <c r="E22" s="22"/>
      <c r="F22" s="22"/>
      <c r="G22" s="22"/>
    </row>
    <row r="23" spans="2:23" x14ac:dyDescent="0.3">
      <c r="B23" s="15" t="s">
        <v>78</v>
      </c>
      <c r="C23" s="5">
        <f>C9-C11-L20-MAX(O11,R11)/2</f>
        <v>29.25375</v>
      </c>
      <c r="D23" s="13" t="s">
        <v>25</v>
      </c>
      <c r="N23" s="22"/>
      <c r="O23" s="22"/>
    </row>
    <row r="24" spans="2:23" x14ac:dyDescent="0.3">
      <c r="N24" s="24" t="str">
        <f>_xlfn.CONCAT(N8,"Ø",P8," + ",Q8,"Ø",S8)</f>
        <v>2Ø5/8" + 2Ø1/2"</v>
      </c>
      <c r="O24" s="22"/>
    </row>
    <row r="25" spans="2:23" x14ac:dyDescent="0.3">
      <c r="B25" s="43" t="s">
        <v>83</v>
      </c>
      <c r="N25" s="24"/>
      <c r="O25" s="22"/>
    </row>
    <row r="26" spans="2:23" x14ac:dyDescent="0.3">
      <c r="E26" s="5"/>
      <c r="F26" s="5"/>
      <c r="N26" s="24"/>
      <c r="O26" s="22"/>
    </row>
    <row r="27" spans="2:23" x14ac:dyDescent="0.3">
      <c r="B27" s="25" t="s">
        <v>2</v>
      </c>
      <c r="C27" s="51">
        <v>1</v>
      </c>
      <c r="D27" s="27">
        <v>2</v>
      </c>
      <c r="N27" s="24"/>
      <c r="O27" s="22"/>
    </row>
    <row r="28" spans="2:23" x14ac:dyDescent="0.3">
      <c r="B28" s="28" t="s">
        <v>0</v>
      </c>
      <c r="C28" s="29">
        <f>+C17</f>
        <v>6.4921895759366901</v>
      </c>
      <c r="D28" s="31">
        <f>+C18</f>
        <v>6.4921895759366901</v>
      </c>
      <c r="N28" s="24"/>
      <c r="O28" s="22"/>
    </row>
    <row r="29" spans="2:23" x14ac:dyDescent="0.3">
      <c r="B29" s="32" t="s">
        <v>1</v>
      </c>
      <c r="C29" s="33">
        <f>C22</f>
        <v>5.7462499999999999</v>
      </c>
      <c r="D29" s="45">
        <f>C23</f>
        <v>29.25375</v>
      </c>
      <c r="N29" s="24"/>
      <c r="O29" s="22"/>
    </row>
    <row r="30" spans="2:23" x14ac:dyDescent="0.3">
      <c r="I30" s="35" t="str">
        <f>_xlfn.CONCAT(K19,"Ø",M19)</f>
        <v>1Ø3/8"</v>
      </c>
      <c r="N30" s="24"/>
      <c r="O30" s="22"/>
    </row>
    <row r="31" spans="2:23" x14ac:dyDescent="0.3">
      <c r="N31" s="24"/>
      <c r="O31" s="22"/>
      <c r="W31" s="20" t="s">
        <v>99</v>
      </c>
    </row>
    <row r="32" spans="2:23" x14ac:dyDescent="0.3">
      <c r="B32" s="43" t="s">
        <v>84</v>
      </c>
      <c r="N32" s="24" t="str">
        <f>_xlfn.CONCAT(N10,"Ø",P10," + ",Q10,"Ø",S10)</f>
        <v>2Ø5/8" + 2Ø1/2"</v>
      </c>
      <c r="O32" s="22"/>
      <c r="W32" s="20" t="s">
        <v>100</v>
      </c>
    </row>
    <row r="33" spans="2:24" ht="14.4" x14ac:dyDescent="0.3">
      <c r="B33" s="12"/>
    </row>
    <row r="34" spans="2:24" ht="14.4" x14ac:dyDescent="0.3">
      <c r="B34" s="12"/>
    </row>
    <row r="35" spans="2:24" ht="14.4" x14ac:dyDescent="0.3">
      <c r="B35" s="12"/>
    </row>
    <row r="36" spans="2:24" x14ac:dyDescent="0.3">
      <c r="B36" s="15" t="s">
        <v>35</v>
      </c>
      <c r="C36" s="5">
        <f>(C28*C29+D28*D29+C8*C9*C9/2)/(C28+D28+C8*C9)</f>
        <v>17.5</v>
      </c>
      <c r="D36" s="13" t="s">
        <v>25</v>
      </c>
      <c r="F36" s="22"/>
      <c r="L36" s="46"/>
    </row>
    <row r="39" spans="2:24" ht="24" x14ac:dyDescent="0.3">
      <c r="B39" s="36" t="s">
        <v>7</v>
      </c>
      <c r="C39" s="36" t="s">
        <v>3</v>
      </c>
      <c r="D39" s="36" t="s">
        <v>4</v>
      </c>
      <c r="E39" s="36" t="s">
        <v>8</v>
      </c>
      <c r="F39" s="36" t="s">
        <v>9</v>
      </c>
      <c r="G39" s="36" t="s">
        <v>11</v>
      </c>
      <c r="H39" s="36" t="s">
        <v>12</v>
      </c>
      <c r="I39" s="36" t="s">
        <v>13</v>
      </c>
      <c r="J39" s="36" t="s">
        <v>15</v>
      </c>
      <c r="K39" s="36" t="s">
        <v>17</v>
      </c>
      <c r="L39" s="36" t="s">
        <v>18</v>
      </c>
      <c r="M39" s="36" t="s">
        <v>20</v>
      </c>
      <c r="N39" s="36" t="s">
        <v>16</v>
      </c>
      <c r="O39" s="36" t="s">
        <v>6</v>
      </c>
      <c r="P39" s="36" t="s">
        <v>21</v>
      </c>
      <c r="Q39" s="36" t="s">
        <v>22</v>
      </c>
      <c r="R39" s="36" t="s">
        <v>23</v>
      </c>
      <c r="V39" s="36"/>
      <c r="W39" s="36"/>
      <c r="X39" s="36"/>
    </row>
    <row r="40" spans="2:24" x14ac:dyDescent="0.3">
      <c r="N40" s="11">
        <v>0</v>
      </c>
      <c r="O40" s="11">
        <f>(SUM(C28:D28)*C6)/1000</f>
        <v>54.534392437868199</v>
      </c>
      <c r="P40" s="11">
        <v>0.9</v>
      </c>
      <c r="Q40" s="5">
        <f>N40*P40</f>
        <v>0</v>
      </c>
      <c r="R40" s="5">
        <f>O40*P40</f>
        <v>49.080953194081381</v>
      </c>
    </row>
    <row r="41" spans="2:24" x14ac:dyDescent="0.3">
      <c r="B41" s="5">
        <f>C9/C10</f>
        <v>1</v>
      </c>
      <c r="C41" s="37">
        <f>$C$12*(C$29-$B41)/$B41</f>
        <v>1.423875E-2</v>
      </c>
      <c r="D41" s="37">
        <f>$C$12*(D$29-$B41)/$B41</f>
        <v>8.4761249999999996E-2</v>
      </c>
      <c r="E41" s="38">
        <f t="shared" ref="E41:E75" si="0">IF(C41&lt;-$C$13,-$C$6,IF(C41&lt;=$C$13,C41*$C$7,$C$6))</f>
        <v>4200</v>
      </c>
      <c r="F41" s="38">
        <f t="shared" ref="F41:F75" si="1">IF(D41&lt;-$C$13,-$C$6,IF(D41&lt;=$C$13,D41*$C$7,$C$6))</f>
        <v>4200</v>
      </c>
      <c r="G41" s="11">
        <f t="shared" ref="G41:G75" si="2">$C$5*B41</f>
        <v>0.85</v>
      </c>
      <c r="H41" s="38">
        <f>IF(C$29&lt;$G41,E41*C$28+0.85*$C$4*C$28,E41*C$28)</f>
        <v>27267.196218934099</v>
      </c>
      <c r="I41" s="38">
        <f>IF(D$29&lt;$G41,F41*D$28+0.85*$C$4*D$28,F41*D$28)</f>
        <v>27267.196218934099</v>
      </c>
      <c r="J41" s="38">
        <f>-0.85*$C$4*G41*$C$8</f>
        <v>-3793.125</v>
      </c>
      <c r="K41" s="5">
        <f>(H41*(C$29-$C$36))/100000</f>
        <v>-3.2049180755829667</v>
      </c>
      <c r="L41" s="5">
        <f>(I41*(D$29-$C$36))/100000</f>
        <v>3.2049180755829667</v>
      </c>
      <c r="M41" s="5">
        <f t="shared" ref="M41:M75" si="3">(J41*(G41/2-$C$36))/100000</f>
        <v>0.64767609375000001</v>
      </c>
      <c r="N41" s="5">
        <f t="shared" ref="N41:N75" si="4">SUM(K41:M41)</f>
        <v>0.64767609375000001</v>
      </c>
      <c r="O41" s="5">
        <f t="shared" ref="O41:O75" si="5">SUM(H41:J41)/1000</f>
        <v>50.741267437868196</v>
      </c>
      <c r="P41" s="5">
        <f>_xlfn.IFS(D41&gt;0.005,0.9,D41&lt;$C$13,0.65,D41&lt;&gt;0.005,(0.9-0.65)*(D41-$C$13)/(0.005-$C$13)+0.65,D41&lt;&gt;$C$13,(0.9-0.65)*(D41-$C$13)/(0.005-$C$13)+0.65)</f>
        <v>0.9</v>
      </c>
      <c r="Q41" s="5">
        <f>N41*P41</f>
        <v>0.58290848437499998</v>
      </c>
      <c r="R41" s="5">
        <f t="shared" ref="R41:R75" si="6">O41*P41</f>
        <v>45.667140694081375</v>
      </c>
      <c r="V41" s="5"/>
      <c r="W41" s="5"/>
      <c r="X41" s="5"/>
    </row>
    <row r="42" spans="2:24" x14ac:dyDescent="0.3">
      <c r="B42" s="5">
        <f>B41+$C$9/$C$10</f>
        <v>2</v>
      </c>
      <c r="C42" s="37">
        <f t="shared" ref="C42:D57" si="7">$C$12*(C$29-$B42)/$B42</f>
        <v>5.6193750000000002E-3</v>
      </c>
      <c r="D42" s="37">
        <f t="shared" si="7"/>
        <v>4.0880625000000004E-2</v>
      </c>
      <c r="E42" s="38">
        <f t="shared" si="0"/>
        <v>4200</v>
      </c>
      <c r="F42" s="38">
        <f t="shared" si="1"/>
        <v>4200</v>
      </c>
      <c r="G42" s="11">
        <f t="shared" si="2"/>
        <v>1.7</v>
      </c>
      <c r="H42" s="38">
        <f t="shared" ref="H42:H75" si="8">IF(C$29&lt;$G42,E42*C$28+0.85*$C$4*C$28,E42*C$28)</f>
        <v>27267.196218934099</v>
      </c>
      <c r="I42" s="38">
        <f t="shared" ref="I42:I75" si="9">IF(D$29&lt;$G42,F42*D$28+0.85*$C$4*D$28,F42*D$28)</f>
        <v>27267.196218934099</v>
      </c>
      <c r="J42" s="38">
        <f t="shared" ref="J42:J75" si="10">-0.85*$C$4*G42*$C$8</f>
        <v>-7586.25</v>
      </c>
      <c r="K42" s="5">
        <f t="shared" ref="K42:K75" si="11">(H42*(C$29-$C$36))/100000</f>
        <v>-3.2049180755829667</v>
      </c>
      <c r="L42" s="5">
        <f t="shared" ref="L42:L75" si="12">(I42*(D$29-$C$36))/100000</f>
        <v>3.2049180755829667</v>
      </c>
      <c r="M42" s="5">
        <f t="shared" si="3"/>
        <v>1.2631106249999999</v>
      </c>
      <c r="N42" s="5">
        <f t="shared" si="4"/>
        <v>1.2631106249999999</v>
      </c>
      <c r="O42" s="5">
        <f t="shared" si="5"/>
        <v>46.948142437868199</v>
      </c>
      <c r="P42" s="5">
        <f t="shared" ref="P42:P75" si="13">_xlfn.IFS(D42&gt;0.005,0.9,D42&lt;$C$13,0.65,D42&lt;&gt;0.005,(0.9-0.65)*(D42-$C$13)/(0.005-$C$13)+0.65,D42&lt;&gt;$C$13,(0.9-0.65)*(D42-$C$13)/(0.005-$C$13)+0.65)</f>
        <v>0.9</v>
      </c>
      <c r="Q42" s="5">
        <f t="shared" ref="Q42:Q75" si="14">N42*P42</f>
        <v>1.1367995625</v>
      </c>
      <c r="R42" s="5">
        <f t="shared" si="6"/>
        <v>42.253328194081384</v>
      </c>
      <c r="V42" s="5"/>
      <c r="W42" s="5"/>
      <c r="X42" s="5"/>
    </row>
    <row r="43" spans="2:24" x14ac:dyDescent="0.3">
      <c r="B43" s="5">
        <f t="shared" ref="B43:B75" si="15">B42+$C$9/$C$10</f>
        <v>3</v>
      </c>
      <c r="C43" s="37">
        <f t="shared" si="7"/>
        <v>2.74625E-3</v>
      </c>
      <c r="D43" s="37">
        <f t="shared" si="7"/>
        <v>2.6253750000000003E-2</v>
      </c>
      <c r="E43" s="38">
        <f t="shared" si="0"/>
        <v>4200</v>
      </c>
      <c r="F43" s="38">
        <f t="shared" si="1"/>
        <v>4200</v>
      </c>
      <c r="G43" s="11">
        <f t="shared" si="2"/>
        <v>2.5499999999999998</v>
      </c>
      <c r="H43" s="38">
        <f t="shared" si="8"/>
        <v>27267.196218934099</v>
      </c>
      <c r="I43" s="38">
        <f t="shared" si="9"/>
        <v>27267.196218934099</v>
      </c>
      <c r="J43" s="38">
        <f t="shared" si="10"/>
        <v>-11379.374999999998</v>
      </c>
      <c r="K43" s="5">
        <f t="shared" si="11"/>
        <v>-3.2049180755829667</v>
      </c>
      <c r="L43" s="5">
        <f t="shared" si="12"/>
        <v>3.2049180755829667</v>
      </c>
      <c r="M43" s="5">
        <f t="shared" si="3"/>
        <v>1.8463035937500001</v>
      </c>
      <c r="N43" s="5">
        <f t="shared" si="4"/>
        <v>1.8463035937500001</v>
      </c>
      <c r="O43" s="5">
        <f t="shared" si="5"/>
        <v>43.155017437868196</v>
      </c>
      <c r="P43" s="5">
        <f t="shared" si="13"/>
        <v>0.9</v>
      </c>
      <c r="Q43" s="5">
        <f t="shared" si="14"/>
        <v>1.661673234375</v>
      </c>
      <c r="R43" s="5">
        <f t="shared" si="6"/>
        <v>38.839515694081378</v>
      </c>
      <c r="V43" s="5"/>
      <c r="W43" s="5"/>
      <c r="X43" s="5"/>
    </row>
    <row r="44" spans="2:24" x14ac:dyDescent="0.3">
      <c r="B44" s="5">
        <f t="shared" si="15"/>
        <v>4</v>
      </c>
      <c r="C44" s="37">
        <f t="shared" si="7"/>
        <v>1.3096874999999999E-3</v>
      </c>
      <c r="D44" s="37">
        <f t="shared" si="7"/>
        <v>1.8940312500000001E-2</v>
      </c>
      <c r="E44" s="38">
        <f t="shared" si="0"/>
        <v>2619.3749999999995</v>
      </c>
      <c r="F44" s="38">
        <f t="shared" si="1"/>
        <v>4200</v>
      </c>
      <c r="G44" s="11">
        <f t="shared" si="2"/>
        <v>3.4</v>
      </c>
      <c r="H44" s="38">
        <f t="shared" si="8"/>
        <v>17005.479070469166</v>
      </c>
      <c r="I44" s="38">
        <f t="shared" si="9"/>
        <v>27267.196218934099</v>
      </c>
      <c r="J44" s="38">
        <f t="shared" si="10"/>
        <v>-15172.5</v>
      </c>
      <c r="K44" s="5">
        <f t="shared" si="11"/>
        <v>-1.9987814962452697</v>
      </c>
      <c r="L44" s="5">
        <f t="shared" si="12"/>
        <v>3.2049180755829667</v>
      </c>
      <c r="M44" s="5">
        <f t="shared" si="3"/>
        <v>2.3972549999999999</v>
      </c>
      <c r="N44" s="5">
        <f t="shared" si="4"/>
        <v>3.6033915793376972</v>
      </c>
      <c r="O44" s="5">
        <f t="shared" si="5"/>
        <v>29.100175289403268</v>
      </c>
      <c r="P44" s="5">
        <f t="shared" si="13"/>
        <v>0.9</v>
      </c>
      <c r="Q44" s="5">
        <f t="shared" si="14"/>
        <v>3.2430524214039274</v>
      </c>
      <c r="R44" s="5">
        <f t="shared" si="6"/>
        <v>26.190157760462942</v>
      </c>
      <c r="V44" s="5"/>
      <c r="W44" s="5"/>
      <c r="X44" s="5"/>
    </row>
    <row r="45" spans="2:24" x14ac:dyDescent="0.3">
      <c r="B45" s="5">
        <f t="shared" si="15"/>
        <v>5</v>
      </c>
      <c r="C45" s="37">
        <f t="shared" si="7"/>
        <v>4.4774999999999991E-4</v>
      </c>
      <c r="D45" s="37">
        <f t="shared" si="7"/>
        <v>1.4552249999999999E-2</v>
      </c>
      <c r="E45" s="38">
        <f t="shared" si="0"/>
        <v>895.49999999999977</v>
      </c>
      <c r="F45" s="38">
        <f t="shared" si="1"/>
        <v>4200</v>
      </c>
      <c r="G45" s="11">
        <f t="shared" si="2"/>
        <v>4.25</v>
      </c>
      <c r="H45" s="38">
        <f t="shared" si="8"/>
        <v>5813.7557652513042</v>
      </c>
      <c r="I45" s="38">
        <f t="shared" si="9"/>
        <v>27267.196218934099</v>
      </c>
      <c r="J45" s="38">
        <f t="shared" si="10"/>
        <v>-18965.625</v>
      </c>
      <c r="K45" s="5">
        <f t="shared" si="11"/>
        <v>-0.6833343182582251</v>
      </c>
      <c r="L45" s="5">
        <f t="shared" si="12"/>
        <v>3.2049180755829667</v>
      </c>
      <c r="M45" s="5">
        <f t="shared" si="3"/>
        <v>2.9159648437499999</v>
      </c>
      <c r="N45" s="5">
        <f t="shared" si="4"/>
        <v>5.4375486010747416</v>
      </c>
      <c r="O45" s="5">
        <f t="shared" si="5"/>
        <v>14.115326984185405</v>
      </c>
      <c r="P45" s="5">
        <f t="shared" si="13"/>
        <v>0.9</v>
      </c>
      <c r="Q45" s="5">
        <f t="shared" si="14"/>
        <v>4.8937937409672676</v>
      </c>
      <c r="R45" s="5">
        <f t="shared" si="6"/>
        <v>12.703794285766865</v>
      </c>
      <c r="V45" s="5"/>
      <c r="W45" s="5"/>
      <c r="X45" s="5"/>
    </row>
    <row r="46" spans="2:24" x14ac:dyDescent="0.3">
      <c r="B46" s="5">
        <f t="shared" si="15"/>
        <v>6</v>
      </c>
      <c r="C46" s="37">
        <f t="shared" si="7"/>
        <v>-1.2687500000000006E-4</v>
      </c>
      <c r="D46" s="37">
        <f t="shared" si="7"/>
        <v>1.1626875E-2</v>
      </c>
      <c r="E46" s="38">
        <f t="shared" si="0"/>
        <v>-253.75000000000011</v>
      </c>
      <c r="F46" s="38">
        <f t="shared" si="1"/>
        <v>4200</v>
      </c>
      <c r="G46" s="11">
        <f t="shared" si="2"/>
        <v>5.0999999999999996</v>
      </c>
      <c r="H46" s="38">
        <f t="shared" si="8"/>
        <v>-1647.3931048939357</v>
      </c>
      <c r="I46" s="38">
        <f t="shared" si="9"/>
        <v>27267.196218934099</v>
      </c>
      <c r="J46" s="38">
        <f t="shared" si="10"/>
        <v>-22758.749999999996</v>
      </c>
      <c r="K46" s="5">
        <f t="shared" si="11"/>
        <v>0.193630467066471</v>
      </c>
      <c r="L46" s="5">
        <f t="shared" si="12"/>
        <v>3.2049180755829667</v>
      </c>
      <c r="M46" s="5">
        <f t="shared" si="3"/>
        <v>3.4024331249999995</v>
      </c>
      <c r="N46" s="5">
        <f t="shared" si="4"/>
        <v>6.8009816676494372</v>
      </c>
      <c r="O46" s="5">
        <f t="shared" si="5"/>
        <v>2.8610531140401689</v>
      </c>
      <c r="P46" s="5">
        <f t="shared" si="13"/>
        <v>0.9</v>
      </c>
      <c r="Q46" s="5">
        <f t="shared" si="14"/>
        <v>6.120883500884494</v>
      </c>
      <c r="R46" s="5">
        <f t="shared" si="6"/>
        <v>2.5749478026361521</v>
      </c>
      <c r="V46" s="5"/>
      <c r="W46" s="5"/>
      <c r="X46" s="5"/>
    </row>
    <row r="47" spans="2:24" x14ac:dyDescent="0.3">
      <c r="B47" s="5">
        <f t="shared" si="15"/>
        <v>7</v>
      </c>
      <c r="C47" s="37">
        <f t="shared" si="7"/>
        <v>-5.3732142857142867E-4</v>
      </c>
      <c r="D47" s="37">
        <f t="shared" si="7"/>
        <v>9.5373214285714297E-3</v>
      </c>
      <c r="E47" s="38">
        <f t="shared" si="0"/>
        <v>-1074.6428571428573</v>
      </c>
      <c r="F47" s="38">
        <f t="shared" si="1"/>
        <v>4200</v>
      </c>
      <c r="G47" s="11">
        <f t="shared" si="2"/>
        <v>5.95</v>
      </c>
      <c r="H47" s="38">
        <f t="shared" si="8"/>
        <v>-5817.9293156929816</v>
      </c>
      <c r="I47" s="38">
        <f t="shared" si="9"/>
        <v>27267.196218934099</v>
      </c>
      <c r="J47" s="38">
        <f t="shared" si="10"/>
        <v>-26551.875</v>
      </c>
      <c r="K47" s="5">
        <f t="shared" si="11"/>
        <v>0.68382486694326372</v>
      </c>
      <c r="L47" s="5">
        <f t="shared" si="12"/>
        <v>3.2049180755829667</v>
      </c>
      <c r="M47" s="5">
        <f t="shared" si="3"/>
        <v>3.8566598437500001</v>
      </c>
      <c r="N47" s="5">
        <f t="shared" si="4"/>
        <v>7.7454027862762302</v>
      </c>
      <c r="O47" s="5">
        <f t="shared" si="5"/>
        <v>-5.1026080967588827</v>
      </c>
      <c r="P47" s="5">
        <f t="shared" si="13"/>
        <v>0.9</v>
      </c>
      <c r="Q47" s="5">
        <f t="shared" si="14"/>
        <v>6.970862507648607</v>
      </c>
      <c r="R47" s="5">
        <f t="shared" si="6"/>
        <v>-4.5923472870829949</v>
      </c>
      <c r="V47" s="5"/>
      <c r="W47" s="5"/>
      <c r="X47" s="5"/>
    </row>
    <row r="48" spans="2:24" x14ac:dyDescent="0.3">
      <c r="B48" s="5">
        <f t="shared" si="15"/>
        <v>8</v>
      </c>
      <c r="C48" s="37">
        <f t="shared" si="7"/>
        <v>-8.451562500000001E-4</v>
      </c>
      <c r="D48" s="37">
        <f t="shared" si="7"/>
        <v>7.9701562500000007E-3</v>
      </c>
      <c r="E48" s="38">
        <f t="shared" si="0"/>
        <v>-1690.3125000000002</v>
      </c>
      <c r="F48" s="38">
        <f t="shared" si="1"/>
        <v>4200</v>
      </c>
      <c r="G48" s="11">
        <f t="shared" si="2"/>
        <v>6.8</v>
      </c>
      <c r="H48" s="38">
        <f t="shared" si="8"/>
        <v>-9814.9733532707887</v>
      </c>
      <c r="I48" s="38">
        <f t="shared" si="9"/>
        <v>27267.196218934099</v>
      </c>
      <c r="J48" s="38">
        <f t="shared" si="10"/>
        <v>-30345</v>
      </c>
      <c r="K48" s="5">
        <f t="shared" si="11"/>
        <v>1.1536274305100653</v>
      </c>
      <c r="L48" s="5">
        <f t="shared" si="12"/>
        <v>3.2049180755829667</v>
      </c>
      <c r="M48" s="5">
        <f t="shared" si="3"/>
        <v>4.278645</v>
      </c>
      <c r="N48" s="5">
        <f t="shared" si="4"/>
        <v>8.637190506093031</v>
      </c>
      <c r="O48" s="5">
        <f t="shared" si="5"/>
        <v>-12.892777134336692</v>
      </c>
      <c r="P48" s="5">
        <f t="shared" si="13"/>
        <v>0.9</v>
      </c>
      <c r="Q48" s="5">
        <f t="shared" si="14"/>
        <v>7.7734714554837279</v>
      </c>
      <c r="R48" s="5">
        <f t="shared" si="6"/>
        <v>-11.603499420903022</v>
      </c>
      <c r="V48" s="5"/>
      <c r="W48" s="5"/>
      <c r="X48" s="5"/>
    </row>
    <row r="49" spans="2:24" x14ac:dyDescent="0.3">
      <c r="B49" s="5">
        <f t="shared" si="15"/>
        <v>9</v>
      </c>
      <c r="C49" s="37">
        <f t="shared" si="7"/>
        <v>-1.0845833333333334E-3</v>
      </c>
      <c r="D49" s="37">
        <f t="shared" si="7"/>
        <v>6.7512500000000003E-3</v>
      </c>
      <c r="E49" s="38">
        <f t="shared" si="0"/>
        <v>-2169.166666666667</v>
      </c>
      <c r="F49" s="38">
        <f t="shared" si="1"/>
        <v>4200</v>
      </c>
      <c r="G49" s="11">
        <f t="shared" si="2"/>
        <v>7.6499999999999995</v>
      </c>
      <c r="H49" s="38">
        <f t="shared" si="8"/>
        <v>-12923.785382497974</v>
      </c>
      <c r="I49" s="38">
        <f t="shared" si="9"/>
        <v>27267.196218934099</v>
      </c>
      <c r="J49" s="38">
        <f t="shared" si="10"/>
        <v>-34138.125</v>
      </c>
      <c r="K49" s="5">
        <f t="shared" si="11"/>
        <v>1.5190294243953557</v>
      </c>
      <c r="L49" s="5">
        <f t="shared" si="12"/>
        <v>3.2049180755829667</v>
      </c>
      <c r="M49" s="5">
        <f t="shared" si="3"/>
        <v>4.6683885937499996</v>
      </c>
      <c r="N49" s="5">
        <f t="shared" si="4"/>
        <v>9.3923360937283213</v>
      </c>
      <c r="O49" s="5">
        <f t="shared" si="5"/>
        <v>-19.794714163563878</v>
      </c>
      <c r="P49" s="5">
        <f t="shared" si="13"/>
        <v>0.9</v>
      </c>
      <c r="Q49" s="5">
        <f t="shared" si="14"/>
        <v>8.4531024843554903</v>
      </c>
      <c r="R49" s="5">
        <f t="shared" si="6"/>
        <v>-17.815242747207492</v>
      </c>
      <c r="V49" s="5"/>
      <c r="W49" s="5"/>
      <c r="X49" s="5"/>
    </row>
    <row r="50" spans="2:24" x14ac:dyDescent="0.3">
      <c r="B50" s="5">
        <f t="shared" si="15"/>
        <v>10</v>
      </c>
      <c r="C50" s="37">
        <f t="shared" si="7"/>
        <v>-1.2761249999999999E-3</v>
      </c>
      <c r="D50" s="37">
        <f t="shared" si="7"/>
        <v>5.776125E-3</v>
      </c>
      <c r="E50" s="38">
        <f t="shared" si="0"/>
        <v>-2552.25</v>
      </c>
      <c r="F50" s="38">
        <f t="shared" si="1"/>
        <v>4200</v>
      </c>
      <c r="G50" s="11">
        <f t="shared" si="2"/>
        <v>8.5</v>
      </c>
      <c r="H50" s="38">
        <f t="shared" si="8"/>
        <v>-15410.835005879719</v>
      </c>
      <c r="I50" s="38">
        <f t="shared" si="9"/>
        <v>27267.196218934099</v>
      </c>
      <c r="J50" s="38">
        <f t="shared" si="10"/>
        <v>-37931.25</v>
      </c>
      <c r="K50" s="5">
        <f t="shared" si="11"/>
        <v>1.8113510195035873</v>
      </c>
      <c r="L50" s="5">
        <f t="shared" si="12"/>
        <v>3.2049180755829667</v>
      </c>
      <c r="M50" s="5">
        <f t="shared" si="3"/>
        <v>5.0258906249999997</v>
      </c>
      <c r="N50" s="5">
        <f t="shared" si="4"/>
        <v>10.042159720086554</v>
      </c>
      <c r="O50" s="5">
        <f t="shared" si="5"/>
        <v>-26.074888786945618</v>
      </c>
      <c r="P50" s="5">
        <f t="shared" si="13"/>
        <v>0.9</v>
      </c>
      <c r="Q50" s="5">
        <f t="shared" si="14"/>
        <v>9.0379437480778986</v>
      </c>
      <c r="R50" s="5">
        <f t="shared" si="6"/>
        <v>-23.467399908251057</v>
      </c>
      <c r="V50" s="5"/>
      <c r="W50" s="5"/>
      <c r="X50" s="5"/>
    </row>
    <row r="51" spans="2:24" x14ac:dyDescent="0.3">
      <c r="B51" s="5">
        <f t="shared" si="15"/>
        <v>11</v>
      </c>
      <c r="C51" s="37">
        <f t="shared" si="7"/>
        <v>-1.4328409090909092E-3</v>
      </c>
      <c r="D51" s="37">
        <f t="shared" si="7"/>
        <v>4.9782954545454549E-3</v>
      </c>
      <c r="E51" s="38">
        <f t="shared" si="0"/>
        <v>-2865.6818181818185</v>
      </c>
      <c r="F51" s="38">
        <f t="shared" si="1"/>
        <v>4200</v>
      </c>
      <c r="G51" s="11">
        <f t="shared" si="2"/>
        <v>9.35</v>
      </c>
      <c r="H51" s="38">
        <f t="shared" si="8"/>
        <v>-17445.693788646604</v>
      </c>
      <c r="I51" s="38">
        <f t="shared" si="9"/>
        <v>27267.196218934099</v>
      </c>
      <c r="J51" s="38">
        <f t="shared" si="10"/>
        <v>-41724.375</v>
      </c>
      <c r="K51" s="5">
        <f t="shared" si="11"/>
        <v>2.0505232336830503</v>
      </c>
      <c r="L51" s="5">
        <f t="shared" si="12"/>
        <v>3.2049180755829667</v>
      </c>
      <c r="M51" s="5">
        <f t="shared" si="3"/>
        <v>5.3511510937500004</v>
      </c>
      <c r="N51" s="5">
        <f t="shared" si="4"/>
        <v>10.606592403016016</v>
      </c>
      <c r="O51" s="5">
        <f t="shared" si="5"/>
        <v>-31.902872569712503</v>
      </c>
      <c r="P51" s="5">
        <f t="shared" si="13"/>
        <v>0.89812891849529786</v>
      </c>
      <c r="Q51" s="5">
        <f t="shared" si="14"/>
        <v>9.5260873638412171</v>
      </c>
      <c r="R51" s="5">
        <f t="shared" si="6"/>
        <v>-28.652892437929193</v>
      </c>
      <c r="V51" s="5"/>
      <c r="W51" s="5"/>
      <c r="X51" s="5"/>
    </row>
    <row r="52" spans="2:24" x14ac:dyDescent="0.3">
      <c r="B52" s="5">
        <f t="shared" si="15"/>
        <v>12</v>
      </c>
      <c r="C52" s="37">
        <f t="shared" si="7"/>
        <v>-1.5634374999999999E-3</v>
      </c>
      <c r="D52" s="37">
        <f t="shared" si="7"/>
        <v>4.3134375000000004E-3</v>
      </c>
      <c r="E52" s="38">
        <f t="shared" si="0"/>
        <v>-3126.875</v>
      </c>
      <c r="F52" s="38">
        <f t="shared" si="1"/>
        <v>4200</v>
      </c>
      <c r="G52" s="11">
        <f t="shared" si="2"/>
        <v>10.199999999999999</v>
      </c>
      <c r="H52" s="38">
        <f t="shared" si="8"/>
        <v>-19141.409440952339</v>
      </c>
      <c r="I52" s="38">
        <f t="shared" si="9"/>
        <v>27267.196218934099</v>
      </c>
      <c r="J52" s="38">
        <f t="shared" si="10"/>
        <v>-45517.499999999993</v>
      </c>
      <c r="K52" s="5">
        <f t="shared" si="11"/>
        <v>2.2498334121659354</v>
      </c>
      <c r="L52" s="5">
        <f t="shared" si="12"/>
        <v>3.2049180755829667</v>
      </c>
      <c r="M52" s="5">
        <f t="shared" si="3"/>
        <v>5.644169999999999</v>
      </c>
      <c r="N52" s="5">
        <f t="shared" si="4"/>
        <v>11.098921487748902</v>
      </c>
      <c r="O52" s="5">
        <f t="shared" si="5"/>
        <v>-37.391713222018232</v>
      </c>
      <c r="P52" s="5">
        <f t="shared" si="13"/>
        <v>0.8408135775862069</v>
      </c>
      <c r="Q52" s="5">
        <f t="shared" si="14"/>
        <v>9.3321238834625806</v>
      </c>
      <c r="R52" s="5">
        <f t="shared" si="6"/>
        <v>-31.439460166282625</v>
      </c>
      <c r="V52" s="5"/>
      <c r="W52" s="5"/>
      <c r="X52" s="5"/>
    </row>
    <row r="53" spans="2:24" x14ac:dyDescent="0.3">
      <c r="B53" s="5">
        <f t="shared" si="15"/>
        <v>13</v>
      </c>
      <c r="C53" s="37">
        <f t="shared" ref="C53:C75" si="16">$C$12*(C$29-$B53)/$B53</f>
        <v>-1.6739423076923077E-3</v>
      </c>
      <c r="D53" s="37">
        <f t="shared" si="7"/>
        <v>3.7508653846153846E-3</v>
      </c>
      <c r="E53" s="38">
        <f t="shared" si="0"/>
        <v>-3347.8846153846152</v>
      </c>
      <c r="F53" s="38">
        <f t="shared" si="1"/>
        <v>4200</v>
      </c>
      <c r="G53" s="11">
        <f t="shared" si="2"/>
        <v>11.049999999999999</v>
      </c>
      <c r="H53" s="38">
        <f t="shared" si="8"/>
        <v>-20576.245762134116</v>
      </c>
      <c r="I53" s="38">
        <f t="shared" si="9"/>
        <v>27267.196218934099</v>
      </c>
      <c r="J53" s="38">
        <f t="shared" si="10"/>
        <v>-49310.624999999993</v>
      </c>
      <c r="K53" s="5">
        <f t="shared" si="11"/>
        <v>2.418480486266839</v>
      </c>
      <c r="L53" s="5">
        <f t="shared" si="12"/>
        <v>3.2049180755829667</v>
      </c>
      <c r="M53" s="5">
        <f t="shared" si="3"/>
        <v>5.90494734375</v>
      </c>
      <c r="N53" s="5">
        <f t="shared" si="4"/>
        <v>11.528345905599807</v>
      </c>
      <c r="O53" s="5">
        <f t="shared" si="5"/>
        <v>-42.619674543200013</v>
      </c>
      <c r="P53" s="5">
        <f t="shared" si="13"/>
        <v>0.79231598143236082</v>
      </c>
      <c r="Q53" s="5">
        <f t="shared" si="14"/>
        <v>9.1340927004870487</v>
      </c>
      <c r="R53" s="5">
        <f t="shared" si="6"/>
        <v>-33.768249264023325</v>
      </c>
      <c r="V53" s="5"/>
      <c r="W53" s="5"/>
      <c r="X53" s="5"/>
    </row>
    <row r="54" spans="2:24" x14ac:dyDescent="0.3">
      <c r="B54" s="5">
        <f t="shared" si="15"/>
        <v>14</v>
      </c>
      <c r="C54" s="37">
        <f t="shared" si="16"/>
        <v>-1.7686607142857144E-3</v>
      </c>
      <c r="D54" s="37">
        <f t="shared" si="7"/>
        <v>3.2686607142857144E-3</v>
      </c>
      <c r="E54" s="38">
        <f t="shared" si="0"/>
        <v>-3537.3214285714289</v>
      </c>
      <c r="F54" s="38">
        <f t="shared" si="1"/>
        <v>4200</v>
      </c>
      <c r="G54" s="11">
        <f t="shared" si="2"/>
        <v>11.9</v>
      </c>
      <c r="H54" s="38">
        <f t="shared" si="8"/>
        <v>-21806.105466004214</v>
      </c>
      <c r="I54" s="38">
        <f t="shared" si="9"/>
        <v>27267.196218934099</v>
      </c>
      <c r="J54" s="38">
        <f t="shared" si="10"/>
        <v>-53103.75</v>
      </c>
      <c r="K54" s="5">
        <f t="shared" si="11"/>
        <v>2.5630351212104703</v>
      </c>
      <c r="L54" s="5">
        <f t="shared" si="12"/>
        <v>3.2049180755829667</v>
      </c>
      <c r="M54" s="5">
        <f t="shared" si="3"/>
        <v>6.1334831249999997</v>
      </c>
      <c r="N54" s="5">
        <f t="shared" si="4"/>
        <v>11.901436321793437</v>
      </c>
      <c r="O54" s="5">
        <f t="shared" si="5"/>
        <v>-47.642659247070114</v>
      </c>
      <c r="P54" s="5">
        <f t="shared" si="13"/>
        <v>0.75074661330049264</v>
      </c>
      <c r="Q54" s="5">
        <f t="shared" si="14"/>
        <v>8.934963011997894</v>
      </c>
      <c r="R54" s="5">
        <f t="shared" si="6"/>
        <v>-35.767565078367284</v>
      </c>
      <c r="V54" s="5"/>
      <c r="W54" s="5"/>
      <c r="X54" s="5"/>
    </row>
    <row r="55" spans="2:24" x14ac:dyDescent="0.3">
      <c r="B55" s="5">
        <f t="shared" si="15"/>
        <v>15</v>
      </c>
      <c r="C55" s="37">
        <f t="shared" si="16"/>
        <v>-1.8507500000000002E-3</v>
      </c>
      <c r="D55" s="37">
        <f t="shared" si="7"/>
        <v>2.85075E-3</v>
      </c>
      <c r="E55" s="38">
        <f t="shared" si="0"/>
        <v>-3701.5000000000005</v>
      </c>
      <c r="F55" s="38">
        <f t="shared" si="1"/>
        <v>4200</v>
      </c>
      <c r="G55" s="11">
        <f t="shared" si="2"/>
        <v>12.75</v>
      </c>
      <c r="H55" s="38">
        <f t="shared" si="8"/>
        <v>-22871.983876024962</v>
      </c>
      <c r="I55" s="38">
        <f t="shared" si="9"/>
        <v>27267.196218934099</v>
      </c>
      <c r="J55" s="38">
        <f t="shared" si="10"/>
        <v>-56896.875</v>
      </c>
      <c r="K55" s="5">
        <f t="shared" si="11"/>
        <v>2.6883158048282843</v>
      </c>
      <c r="L55" s="5">
        <f t="shared" si="12"/>
        <v>3.2049180755829667</v>
      </c>
      <c r="M55" s="5">
        <f t="shared" si="3"/>
        <v>6.32977734375</v>
      </c>
      <c r="N55" s="5">
        <f t="shared" si="4"/>
        <v>12.223011224161251</v>
      </c>
      <c r="O55" s="5">
        <f t="shared" si="5"/>
        <v>-52.501662657090861</v>
      </c>
      <c r="P55" s="5">
        <f t="shared" si="13"/>
        <v>0.71471982758620689</v>
      </c>
      <c r="Q55" s="5">
        <f t="shared" si="14"/>
        <v>8.7360284747168002</v>
      </c>
      <c r="R55" s="5">
        <f t="shared" si="6"/>
        <v>-37.523979282265174</v>
      </c>
      <c r="V55" s="5"/>
      <c r="W55" s="5"/>
      <c r="X55" s="5"/>
    </row>
    <row r="56" spans="2:24" x14ac:dyDescent="0.3">
      <c r="B56" s="5">
        <f t="shared" si="15"/>
        <v>16</v>
      </c>
      <c r="C56" s="37">
        <f t="shared" si="16"/>
        <v>-1.922578125E-3</v>
      </c>
      <c r="D56" s="37">
        <f t="shared" si="7"/>
        <v>2.4850781249999999E-3</v>
      </c>
      <c r="E56" s="38">
        <f t="shared" si="0"/>
        <v>-3845.15625</v>
      </c>
      <c r="F56" s="38">
        <f t="shared" si="1"/>
        <v>4200</v>
      </c>
      <c r="G56" s="11">
        <f t="shared" si="2"/>
        <v>13.6</v>
      </c>
      <c r="H56" s="38">
        <f t="shared" si="8"/>
        <v>-23804.627484793116</v>
      </c>
      <c r="I56" s="38">
        <f t="shared" si="9"/>
        <v>27267.196218934099</v>
      </c>
      <c r="J56" s="38">
        <f t="shared" si="10"/>
        <v>-60690</v>
      </c>
      <c r="K56" s="5">
        <f t="shared" si="11"/>
        <v>2.7979364029938711</v>
      </c>
      <c r="L56" s="5">
        <f t="shared" si="12"/>
        <v>3.2049180755829667</v>
      </c>
      <c r="M56" s="5">
        <f t="shared" si="3"/>
        <v>6.49383</v>
      </c>
      <c r="N56" s="5">
        <f t="shared" si="4"/>
        <v>12.496684478576839</v>
      </c>
      <c r="O56" s="5">
        <f t="shared" si="5"/>
        <v>-57.227431265859018</v>
      </c>
      <c r="P56" s="5">
        <f t="shared" si="13"/>
        <v>0.68319639008620692</v>
      </c>
      <c r="Q56" s="5">
        <f t="shared" si="14"/>
        <v>8.5376897238100291</v>
      </c>
      <c r="R56" s="5">
        <f t="shared" si="6"/>
        <v>-39.097574454741412</v>
      </c>
      <c r="V56" s="5"/>
      <c r="W56" s="5"/>
      <c r="X56" s="5"/>
    </row>
    <row r="57" spans="2:24" x14ac:dyDescent="0.3">
      <c r="B57" s="5">
        <f t="shared" si="15"/>
        <v>17</v>
      </c>
      <c r="C57" s="37">
        <f t="shared" si="16"/>
        <v>-1.9859558823529413E-3</v>
      </c>
      <c r="D57" s="37">
        <f t="shared" si="7"/>
        <v>2.1624264705882353E-3</v>
      </c>
      <c r="E57" s="38">
        <f t="shared" si="0"/>
        <v>-3971.9117647058829</v>
      </c>
      <c r="F57" s="38">
        <f t="shared" si="1"/>
        <v>4200</v>
      </c>
      <c r="G57" s="11">
        <f t="shared" si="2"/>
        <v>14.45</v>
      </c>
      <c r="H57" s="38">
        <f t="shared" si="8"/>
        <v>-24627.548316059139</v>
      </c>
      <c r="I57" s="38">
        <f t="shared" si="9"/>
        <v>27267.196218934099</v>
      </c>
      <c r="J57" s="38">
        <f t="shared" si="10"/>
        <v>-64483.124999999993</v>
      </c>
      <c r="K57" s="5">
        <f t="shared" si="11"/>
        <v>2.8946604601988009</v>
      </c>
      <c r="L57" s="5">
        <f t="shared" si="12"/>
        <v>3.2049180755829667</v>
      </c>
      <c r="M57" s="5">
        <f t="shared" si="3"/>
        <v>6.6256410937499997</v>
      </c>
      <c r="N57" s="5">
        <f t="shared" si="4"/>
        <v>12.725219629531768</v>
      </c>
      <c r="O57" s="5">
        <f t="shared" si="5"/>
        <v>-61.843477097125032</v>
      </c>
      <c r="P57" s="5">
        <f t="shared" si="13"/>
        <v>0.65538159229208925</v>
      </c>
      <c r="Q57" s="5">
        <f t="shared" si="14"/>
        <v>8.3398747030690803</v>
      </c>
      <c r="R57" s="5">
        <f t="shared" si="6"/>
        <v>-40.531076492793154</v>
      </c>
      <c r="V57" s="5"/>
      <c r="W57" s="5"/>
      <c r="X57" s="5"/>
    </row>
    <row r="58" spans="2:24" x14ac:dyDescent="0.3">
      <c r="B58" s="5">
        <f t="shared" si="15"/>
        <v>18</v>
      </c>
      <c r="C58" s="37">
        <f t="shared" si="16"/>
        <v>-2.0422916666666666E-3</v>
      </c>
      <c r="D58" s="37">
        <f t="shared" ref="D58:D75" si="17">$C$12*(D$29-$B58)/$B58</f>
        <v>1.8756249999999999E-3</v>
      </c>
      <c r="E58" s="38">
        <f t="shared" si="0"/>
        <v>-4084.5833333333335</v>
      </c>
      <c r="F58" s="38">
        <f t="shared" si="1"/>
        <v>3751.25</v>
      </c>
      <c r="G58" s="11">
        <f t="shared" si="2"/>
        <v>15.299999999999999</v>
      </c>
      <c r="H58" s="38">
        <f t="shared" si="8"/>
        <v>-25359.033499406709</v>
      </c>
      <c r="I58" s="38">
        <f t="shared" si="9"/>
        <v>24353.82614673251</v>
      </c>
      <c r="J58" s="38">
        <f t="shared" si="10"/>
        <v>-68276.25</v>
      </c>
      <c r="K58" s="5">
        <f t="shared" si="11"/>
        <v>2.9806373999365161</v>
      </c>
      <c r="L58" s="5">
        <f t="shared" si="12"/>
        <v>2.8624878407215721</v>
      </c>
      <c r="M58" s="5">
        <f t="shared" si="3"/>
        <v>6.7252106250000008</v>
      </c>
      <c r="N58" s="5">
        <f t="shared" si="4"/>
        <v>12.568335865658089</v>
      </c>
      <c r="O58" s="5">
        <f t="shared" si="5"/>
        <v>-69.281457352674209</v>
      </c>
      <c r="P58" s="5">
        <f t="shared" si="13"/>
        <v>0.65</v>
      </c>
      <c r="Q58" s="5">
        <f t="shared" si="14"/>
        <v>8.1694183126777578</v>
      </c>
      <c r="R58" s="5">
        <f t="shared" si="6"/>
        <v>-45.032947279238236</v>
      </c>
      <c r="V58" s="5"/>
      <c r="W58" s="5"/>
      <c r="X58" s="5"/>
    </row>
    <row r="59" spans="2:24" x14ac:dyDescent="0.3">
      <c r="B59" s="5">
        <f t="shared" si="15"/>
        <v>19</v>
      </c>
      <c r="C59" s="37">
        <f t="shared" si="16"/>
        <v>-2.0926973684210525E-3</v>
      </c>
      <c r="D59" s="37">
        <f t="shared" si="17"/>
        <v>1.6190131578947369E-3</v>
      </c>
      <c r="E59" s="38">
        <f t="shared" si="0"/>
        <v>-4185.394736842105</v>
      </c>
      <c r="F59" s="38">
        <f t="shared" si="1"/>
        <v>3238.0263157894738</v>
      </c>
      <c r="G59" s="11">
        <f t="shared" si="2"/>
        <v>16.149999999999999</v>
      </c>
      <c r="H59" s="38">
        <f t="shared" si="8"/>
        <v>-26013.520242401901</v>
      </c>
      <c r="I59" s="38">
        <f t="shared" si="9"/>
        <v>21021.880693977106</v>
      </c>
      <c r="J59" s="38">
        <f t="shared" si="10"/>
        <v>-72069.374999999985</v>
      </c>
      <c r="K59" s="5">
        <f t="shared" si="11"/>
        <v>3.0575641354913135</v>
      </c>
      <c r="L59" s="5">
        <f t="shared" si="12"/>
        <v>2.4708593020683343</v>
      </c>
      <c r="M59" s="5">
        <f t="shared" si="3"/>
        <v>6.7925385937499989</v>
      </c>
      <c r="N59" s="5">
        <f t="shared" si="4"/>
        <v>12.320962031309646</v>
      </c>
      <c r="O59" s="5">
        <f t="shared" si="5"/>
        <v>-77.061014548424779</v>
      </c>
      <c r="P59" s="5">
        <f t="shared" si="13"/>
        <v>0.65</v>
      </c>
      <c r="Q59" s="5">
        <f>N59*P59</f>
        <v>8.0086253203512712</v>
      </c>
      <c r="R59" s="5">
        <f t="shared" si="6"/>
        <v>-50.089659456476106</v>
      </c>
      <c r="V59" s="5"/>
      <c r="W59" s="5"/>
      <c r="X59" s="5"/>
    </row>
    <row r="60" spans="2:24" x14ac:dyDescent="0.3">
      <c r="B60" s="5">
        <f t="shared" si="15"/>
        <v>20</v>
      </c>
      <c r="C60" s="37">
        <f t="shared" si="16"/>
        <v>-2.1380625000000002E-3</v>
      </c>
      <c r="D60" s="37">
        <f t="shared" si="17"/>
        <v>1.3880625E-3</v>
      </c>
      <c r="E60" s="38">
        <f t="shared" si="0"/>
        <v>-4200</v>
      </c>
      <c r="F60" s="38">
        <f t="shared" si="1"/>
        <v>2776.125</v>
      </c>
      <c r="G60" s="11">
        <f t="shared" si="2"/>
        <v>17</v>
      </c>
      <c r="H60" s="38">
        <f t="shared" si="8"/>
        <v>-26108.340379629401</v>
      </c>
      <c r="I60" s="38">
        <f t="shared" si="9"/>
        <v>18023.129786497244</v>
      </c>
      <c r="J60" s="38">
        <f t="shared" si="10"/>
        <v>-75862.5</v>
      </c>
      <c r="K60" s="5">
        <f t="shared" si="11"/>
        <v>3.068709057370691</v>
      </c>
      <c r="L60" s="5">
        <f t="shared" si="12"/>
        <v>2.1183936172804199</v>
      </c>
      <c r="M60" s="5">
        <f t="shared" si="3"/>
        <v>6.8276250000000003</v>
      </c>
      <c r="N60" s="5">
        <f t="shared" si="4"/>
        <v>12.014727674651112</v>
      </c>
      <c r="O60" s="5">
        <f t="shared" si="5"/>
        <v>-83.947710593132157</v>
      </c>
      <c r="P60" s="5">
        <f t="shared" si="13"/>
        <v>0.65</v>
      </c>
      <c r="Q60" s="5">
        <f t="shared" si="14"/>
        <v>7.8095729885232235</v>
      </c>
      <c r="R60" s="5">
        <f t="shared" si="6"/>
        <v>-54.566011885535907</v>
      </c>
      <c r="V60" s="5"/>
      <c r="W60" s="5"/>
      <c r="X60" s="5"/>
    </row>
    <row r="61" spans="2:24" x14ac:dyDescent="0.3">
      <c r="B61" s="5">
        <f t="shared" si="15"/>
        <v>21</v>
      </c>
      <c r="C61" s="37">
        <f t="shared" si="16"/>
        <v>-2.1791071428571432E-3</v>
      </c>
      <c r="D61" s="37">
        <f t="shared" si="17"/>
        <v>1.179107142857143E-3</v>
      </c>
      <c r="E61" s="38">
        <f t="shared" si="0"/>
        <v>-4200</v>
      </c>
      <c r="F61" s="38">
        <f t="shared" si="1"/>
        <v>2358.2142857142858</v>
      </c>
      <c r="G61" s="11">
        <f t="shared" si="2"/>
        <v>17.849999999999998</v>
      </c>
      <c r="H61" s="38">
        <f t="shared" si="8"/>
        <v>-26108.340379629401</v>
      </c>
      <c r="I61" s="38">
        <f t="shared" si="9"/>
        <v>15309.974203539274</v>
      </c>
      <c r="J61" s="38">
        <f t="shared" si="10"/>
        <v>-79655.624999999985</v>
      </c>
      <c r="K61" s="5">
        <f t="shared" si="11"/>
        <v>3.068709057370691</v>
      </c>
      <c r="L61" s="5">
        <f t="shared" si="12"/>
        <v>1.7994960929484973</v>
      </c>
      <c r="M61" s="5">
        <f t="shared" si="3"/>
        <v>6.8304698437500004</v>
      </c>
      <c r="N61" s="5">
        <f t="shared" si="4"/>
        <v>11.698674994069188</v>
      </c>
      <c r="O61" s="5">
        <f t="shared" si="5"/>
        <v>-90.453991176090113</v>
      </c>
      <c r="P61" s="5">
        <f t="shared" si="13"/>
        <v>0.65</v>
      </c>
      <c r="Q61" s="5">
        <f t="shared" si="14"/>
        <v>7.6041387461449723</v>
      </c>
      <c r="R61" s="5">
        <f t="shared" si="6"/>
        <v>-58.795094264458577</v>
      </c>
      <c r="V61" s="5"/>
      <c r="W61" s="5"/>
      <c r="X61" s="5"/>
    </row>
    <row r="62" spans="2:24" x14ac:dyDescent="0.3">
      <c r="B62" s="5">
        <f t="shared" si="15"/>
        <v>22</v>
      </c>
      <c r="C62" s="37">
        <f t="shared" si="16"/>
        <v>-2.2164204545454544E-3</v>
      </c>
      <c r="D62" s="37">
        <f t="shared" si="17"/>
        <v>9.8914772727272718E-4</v>
      </c>
      <c r="E62" s="38">
        <f t="shared" si="0"/>
        <v>-4200</v>
      </c>
      <c r="F62" s="38">
        <f t="shared" si="1"/>
        <v>1978.2954545454543</v>
      </c>
      <c r="G62" s="11">
        <f t="shared" si="2"/>
        <v>18.7</v>
      </c>
      <c r="H62" s="38">
        <f t="shared" si="8"/>
        <v>-26108.340379629401</v>
      </c>
      <c r="I62" s="38">
        <f t="shared" si="9"/>
        <v>12843.469128122935</v>
      </c>
      <c r="J62" s="38">
        <f t="shared" si="10"/>
        <v>-83448.75</v>
      </c>
      <c r="K62" s="5">
        <f t="shared" si="11"/>
        <v>3.068709057370691</v>
      </c>
      <c r="L62" s="5">
        <f t="shared" si="12"/>
        <v>1.5095892526467494</v>
      </c>
      <c r="M62" s="5">
        <f t="shared" si="3"/>
        <v>6.8010731250000003</v>
      </c>
      <c r="N62" s="5">
        <f t="shared" si="4"/>
        <v>11.37937143501744</v>
      </c>
      <c r="O62" s="5">
        <f t="shared" si="5"/>
        <v>-96.713621251506467</v>
      </c>
      <c r="P62" s="5">
        <f t="shared" si="13"/>
        <v>0.65</v>
      </c>
      <c r="Q62" s="5">
        <f t="shared" si="14"/>
        <v>7.396591432761336</v>
      </c>
      <c r="R62" s="5">
        <f t="shared" si="6"/>
        <v>-62.863853813479203</v>
      </c>
      <c r="V62" s="5"/>
      <c r="W62" s="5"/>
      <c r="X62" s="5"/>
    </row>
    <row r="63" spans="2:24" x14ac:dyDescent="0.3">
      <c r="B63" s="5">
        <f t="shared" si="15"/>
        <v>23</v>
      </c>
      <c r="C63" s="37">
        <f t="shared" si="16"/>
        <v>-2.2504891304347828E-3</v>
      </c>
      <c r="D63" s="37">
        <f t="shared" si="17"/>
        <v>8.1570652173913044E-4</v>
      </c>
      <c r="E63" s="38">
        <f t="shared" si="0"/>
        <v>-4200</v>
      </c>
      <c r="F63" s="38">
        <f t="shared" si="1"/>
        <v>1631.413043478261</v>
      </c>
      <c r="G63" s="11">
        <f t="shared" si="2"/>
        <v>19.55</v>
      </c>
      <c r="H63" s="38">
        <f t="shared" si="8"/>
        <v>-26108.340379629401</v>
      </c>
      <c r="I63" s="38">
        <f t="shared" si="9"/>
        <v>10591.442754916716</v>
      </c>
      <c r="J63" s="38">
        <f t="shared" si="10"/>
        <v>-87241.875</v>
      </c>
      <c r="K63" s="5">
        <f t="shared" si="11"/>
        <v>3.068709057370691</v>
      </c>
      <c r="L63" s="5">
        <f t="shared" si="12"/>
        <v>1.2448917028060236</v>
      </c>
      <c r="M63" s="5">
        <f t="shared" si="3"/>
        <v>6.7394348437499998</v>
      </c>
      <c r="N63" s="5">
        <f t="shared" si="4"/>
        <v>11.053035603926714</v>
      </c>
      <c r="O63" s="5">
        <f t="shared" si="5"/>
        <v>-102.75877262471269</v>
      </c>
      <c r="P63" s="5">
        <f t="shared" si="13"/>
        <v>0.65</v>
      </c>
      <c r="Q63" s="5">
        <f t="shared" si="14"/>
        <v>7.1844731425523642</v>
      </c>
      <c r="R63" s="5">
        <f t="shared" si="6"/>
        <v>-66.793202206063256</v>
      </c>
      <c r="V63" s="5"/>
      <c r="W63" s="5"/>
      <c r="X63" s="5"/>
    </row>
    <row r="64" spans="2:24" x14ac:dyDescent="0.3">
      <c r="B64" s="5">
        <f t="shared" si="15"/>
        <v>24</v>
      </c>
      <c r="C64" s="37">
        <f t="shared" si="16"/>
        <v>-2.2817187500000003E-3</v>
      </c>
      <c r="D64" s="37">
        <f t="shared" si="17"/>
        <v>6.5671875000000008E-4</v>
      </c>
      <c r="E64" s="38">
        <f t="shared" si="0"/>
        <v>-4200</v>
      </c>
      <c r="F64" s="38">
        <f t="shared" si="1"/>
        <v>1313.4375000000002</v>
      </c>
      <c r="G64" s="11">
        <f t="shared" si="2"/>
        <v>20.399999999999999</v>
      </c>
      <c r="H64" s="38">
        <f t="shared" si="8"/>
        <v>-26108.340379629401</v>
      </c>
      <c r="I64" s="38">
        <f t="shared" si="9"/>
        <v>8527.0852461443483</v>
      </c>
      <c r="J64" s="38">
        <f t="shared" si="10"/>
        <v>-91034.999999999985</v>
      </c>
      <c r="K64" s="5">
        <f t="shared" si="11"/>
        <v>3.068709057370691</v>
      </c>
      <c r="L64" s="5">
        <f t="shared" si="12"/>
        <v>1.0022522821186914</v>
      </c>
      <c r="M64" s="5">
        <f t="shared" si="3"/>
        <v>6.6455549999999999</v>
      </c>
      <c r="N64" s="5">
        <f t="shared" si="4"/>
        <v>10.716516339489383</v>
      </c>
      <c r="O64" s="5">
        <f t="shared" si="5"/>
        <v>-108.61625513348504</v>
      </c>
      <c r="P64" s="5">
        <f t="shared" si="13"/>
        <v>0.65</v>
      </c>
      <c r="Q64" s="5">
        <f t="shared" si="14"/>
        <v>6.9657356206680987</v>
      </c>
      <c r="R64" s="5">
        <f t="shared" si="6"/>
        <v>-70.600565836765284</v>
      </c>
      <c r="V64" s="5"/>
      <c r="W64" s="5"/>
      <c r="X64" s="5"/>
    </row>
    <row r="65" spans="2:24" x14ac:dyDescent="0.3">
      <c r="B65" s="5">
        <f t="shared" si="15"/>
        <v>25</v>
      </c>
      <c r="C65" s="37">
        <f t="shared" si="16"/>
        <v>-2.3104499999999999E-3</v>
      </c>
      <c r="D65" s="37">
        <f t="shared" si="17"/>
        <v>5.1044999999999997E-4</v>
      </c>
      <c r="E65" s="38">
        <f t="shared" si="0"/>
        <v>-4200</v>
      </c>
      <c r="F65" s="38">
        <f t="shared" si="1"/>
        <v>1020.9</v>
      </c>
      <c r="G65" s="11">
        <f t="shared" si="2"/>
        <v>21.25</v>
      </c>
      <c r="H65" s="38">
        <f t="shared" si="8"/>
        <v>-26108.340379629401</v>
      </c>
      <c r="I65" s="38">
        <f t="shared" si="9"/>
        <v>6627.8763380737664</v>
      </c>
      <c r="J65" s="38">
        <f t="shared" si="10"/>
        <v>-94828.125</v>
      </c>
      <c r="K65" s="5">
        <f t="shared" si="11"/>
        <v>3.068709057370691</v>
      </c>
      <c r="L65" s="5">
        <f t="shared" si="12"/>
        <v>0.77902401508634533</v>
      </c>
      <c r="M65" s="5">
        <f t="shared" si="3"/>
        <v>6.5194335937499996</v>
      </c>
      <c r="N65" s="5">
        <f t="shared" si="4"/>
        <v>10.367166666207035</v>
      </c>
      <c r="O65" s="5">
        <f t="shared" si="5"/>
        <v>-114.30858904155563</v>
      </c>
      <c r="P65" s="5">
        <f t="shared" si="13"/>
        <v>0.65</v>
      </c>
      <c r="Q65" s="5">
        <f t="shared" si="14"/>
        <v>6.7386583330345733</v>
      </c>
      <c r="R65" s="5">
        <f t="shared" si="6"/>
        <v>-74.300582877011166</v>
      </c>
      <c r="V65" s="5"/>
      <c r="W65" s="5"/>
      <c r="X65" s="5"/>
    </row>
    <row r="66" spans="2:24" x14ac:dyDescent="0.3">
      <c r="B66" s="5">
        <f t="shared" si="15"/>
        <v>26</v>
      </c>
      <c r="C66" s="37">
        <f t="shared" si="16"/>
        <v>-2.3369711538461539E-3</v>
      </c>
      <c r="D66" s="37">
        <f t="shared" si="17"/>
        <v>3.7543269230769233E-4</v>
      </c>
      <c r="E66" s="38">
        <f t="shared" si="0"/>
        <v>-4200</v>
      </c>
      <c r="F66" s="38">
        <f t="shared" si="1"/>
        <v>750.86538461538464</v>
      </c>
      <c r="G66" s="11">
        <f t="shared" si="2"/>
        <v>22.099999999999998</v>
      </c>
      <c r="H66" s="38">
        <f t="shared" si="8"/>
        <v>-26108.340379629401</v>
      </c>
      <c r="I66" s="38">
        <f t="shared" si="9"/>
        <v>4874.7604229316939</v>
      </c>
      <c r="J66" s="38">
        <f t="shared" si="10"/>
        <v>-98621.249999999985</v>
      </c>
      <c r="K66" s="5">
        <f t="shared" si="11"/>
        <v>3.068709057370691</v>
      </c>
      <c r="L66" s="5">
        <f t="shared" si="12"/>
        <v>0.57296715321033398</v>
      </c>
      <c r="M66" s="5">
        <f t="shared" si="3"/>
        <v>6.361070625</v>
      </c>
      <c r="N66" s="5">
        <f t="shared" si="4"/>
        <v>10.002746835581025</v>
      </c>
      <c r="O66" s="5">
        <f t="shared" si="5"/>
        <v>-119.8548299566977</v>
      </c>
      <c r="P66" s="5">
        <f t="shared" si="13"/>
        <v>0.65</v>
      </c>
      <c r="Q66" s="5">
        <f t="shared" si="14"/>
        <v>6.501785443127666</v>
      </c>
      <c r="R66" s="5">
        <f t="shared" si="6"/>
        <v>-77.905639471853505</v>
      </c>
      <c r="V66" s="5"/>
      <c r="W66" s="5"/>
      <c r="X66" s="5"/>
    </row>
    <row r="67" spans="2:24" x14ac:dyDescent="0.3">
      <c r="B67" s="5">
        <f t="shared" si="15"/>
        <v>27</v>
      </c>
      <c r="C67" s="37">
        <f t="shared" si="16"/>
        <v>-2.3615277777777779E-3</v>
      </c>
      <c r="D67" s="37">
        <f t="shared" si="17"/>
        <v>2.5041666666666669E-4</v>
      </c>
      <c r="E67" s="38">
        <f t="shared" si="0"/>
        <v>-4200</v>
      </c>
      <c r="F67" s="38">
        <f t="shared" si="1"/>
        <v>500.83333333333337</v>
      </c>
      <c r="G67" s="11">
        <f t="shared" si="2"/>
        <v>22.95</v>
      </c>
      <c r="H67" s="38">
        <f t="shared" si="8"/>
        <v>-26108.340379629401</v>
      </c>
      <c r="I67" s="38">
        <f t="shared" si="9"/>
        <v>3251.5049459482925</v>
      </c>
      <c r="J67" s="38">
        <f t="shared" si="10"/>
        <v>-102414.375</v>
      </c>
      <c r="K67" s="5">
        <f t="shared" si="11"/>
        <v>3.068709057370691</v>
      </c>
      <c r="L67" s="5">
        <f t="shared" si="12"/>
        <v>0.38217376258439739</v>
      </c>
      <c r="M67" s="5">
        <f t="shared" si="3"/>
        <v>6.17046609375</v>
      </c>
      <c r="N67" s="5">
        <f t="shared" si="4"/>
        <v>9.6213489137050878</v>
      </c>
      <c r="O67" s="5">
        <f t="shared" si="5"/>
        <v>-125.27121043368112</v>
      </c>
      <c r="P67" s="5">
        <f t="shared" si="13"/>
        <v>0.65</v>
      </c>
      <c r="Q67" s="5">
        <f t="shared" si="14"/>
        <v>6.2538767939083071</v>
      </c>
      <c r="R67" s="5">
        <f t="shared" si="6"/>
        <v>-81.426286781892728</v>
      </c>
      <c r="V67" s="5"/>
      <c r="W67" s="5"/>
      <c r="X67" s="5"/>
    </row>
    <row r="68" spans="2:24" x14ac:dyDescent="0.3">
      <c r="B68" s="5">
        <f t="shared" si="15"/>
        <v>28</v>
      </c>
      <c r="C68" s="37">
        <f t="shared" si="16"/>
        <v>-2.3843303571428574E-3</v>
      </c>
      <c r="D68" s="37">
        <f t="shared" si="17"/>
        <v>1.3433035714285717E-4</v>
      </c>
      <c r="E68" s="38">
        <f t="shared" si="0"/>
        <v>-4200</v>
      </c>
      <c r="F68" s="38">
        <f t="shared" si="1"/>
        <v>268.66071428571433</v>
      </c>
      <c r="G68" s="11">
        <f t="shared" si="2"/>
        <v>23.8</v>
      </c>
      <c r="H68" s="38">
        <f t="shared" si="8"/>
        <v>-26108.340379629401</v>
      </c>
      <c r="I68" s="38">
        <f t="shared" si="9"/>
        <v>1744.1962887494201</v>
      </c>
      <c r="J68" s="38">
        <f t="shared" si="10"/>
        <v>-106207.5</v>
      </c>
      <c r="K68" s="5">
        <f t="shared" si="11"/>
        <v>3.068709057370691</v>
      </c>
      <c r="L68" s="5">
        <f t="shared" si="12"/>
        <v>0.20500847128888497</v>
      </c>
      <c r="M68" s="5">
        <f t="shared" si="3"/>
        <v>5.9476199999999997</v>
      </c>
      <c r="N68" s="5">
        <f t="shared" si="4"/>
        <v>9.2213375286595749</v>
      </c>
      <c r="O68" s="5">
        <f t="shared" si="5"/>
        <v>-130.57164409087997</v>
      </c>
      <c r="P68" s="5">
        <f t="shared" si="13"/>
        <v>0.65</v>
      </c>
      <c r="Q68" s="5">
        <f t="shared" si="14"/>
        <v>5.9938693936287235</v>
      </c>
      <c r="R68" s="5">
        <f t="shared" si="6"/>
        <v>-84.871568659071983</v>
      </c>
      <c r="V68" s="5"/>
      <c r="W68" s="5"/>
      <c r="X68" s="5"/>
    </row>
    <row r="69" spans="2:24" x14ac:dyDescent="0.3">
      <c r="B69" s="5">
        <f t="shared" si="15"/>
        <v>29</v>
      </c>
      <c r="C69" s="37">
        <f t="shared" si="16"/>
        <v>-2.4055603448275859E-3</v>
      </c>
      <c r="D69" s="37">
        <f t="shared" si="17"/>
        <v>2.6250000000000015E-5</v>
      </c>
      <c r="E69" s="38">
        <f t="shared" si="0"/>
        <v>-4200</v>
      </c>
      <c r="F69" s="38">
        <f t="shared" si="1"/>
        <v>52.500000000000028</v>
      </c>
      <c r="G69" s="11">
        <f t="shared" si="2"/>
        <v>24.65</v>
      </c>
      <c r="H69" s="38">
        <f t="shared" si="8"/>
        <v>-26108.340379629401</v>
      </c>
      <c r="I69" s="38">
        <f t="shared" si="9"/>
        <v>340.83995273667642</v>
      </c>
      <c r="J69" s="38">
        <f t="shared" si="10"/>
        <v>-110000.62499999999</v>
      </c>
      <c r="K69" s="5">
        <f t="shared" si="11"/>
        <v>3.068709057370691</v>
      </c>
      <c r="L69" s="5">
        <f t="shared" si="12"/>
        <v>4.0061475944787109E-2</v>
      </c>
      <c r="M69" s="5">
        <f t="shared" si="3"/>
        <v>5.6925323437499999</v>
      </c>
      <c r="N69" s="5">
        <f t="shared" si="4"/>
        <v>8.8013028770654778</v>
      </c>
      <c r="O69" s="5">
        <f t="shared" si="5"/>
        <v>-135.76812542689271</v>
      </c>
      <c r="P69" s="5">
        <f t="shared" si="13"/>
        <v>0.65</v>
      </c>
      <c r="Q69" s="5">
        <f t="shared" si="14"/>
        <v>5.7208468700925605</v>
      </c>
      <c r="R69" s="5">
        <f t="shared" si="6"/>
        <v>-88.249281527480264</v>
      </c>
      <c r="V69" s="5"/>
      <c r="W69" s="5"/>
      <c r="X69" s="5"/>
    </row>
    <row r="70" spans="2:24" x14ac:dyDescent="0.3">
      <c r="B70" s="5">
        <f t="shared" si="15"/>
        <v>30</v>
      </c>
      <c r="C70" s="37">
        <f t="shared" si="16"/>
        <v>-2.425375E-3</v>
      </c>
      <c r="D70" s="37">
        <f t="shared" si="17"/>
        <v>-7.4624999999999984E-5</v>
      </c>
      <c r="E70" s="38">
        <f t="shared" si="0"/>
        <v>-4200</v>
      </c>
      <c r="F70" s="38">
        <f t="shared" si="1"/>
        <v>-149.24999999999997</v>
      </c>
      <c r="G70" s="11">
        <f t="shared" si="2"/>
        <v>25.5</v>
      </c>
      <c r="H70" s="38">
        <f t="shared" si="8"/>
        <v>-26108.340379629401</v>
      </c>
      <c r="I70" s="38">
        <f t="shared" si="9"/>
        <v>-968.95929420855077</v>
      </c>
      <c r="J70" s="38">
        <f t="shared" si="10"/>
        <v>-113793.75</v>
      </c>
      <c r="K70" s="5">
        <f t="shared" si="11"/>
        <v>3.068709057370691</v>
      </c>
      <c r="L70" s="5">
        <f t="shared" si="12"/>
        <v>-0.11388905304303754</v>
      </c>
      <c r="M70" s="5">
        <f t="shared" si="3"/>
        <v>5.4052031249999999</v>
      </c>
      <c r="N70" s="5">
        <f t="shared" si="4"/>
        <v>8.3600231293276543</v>
      </c>
      <c r="O70" s="5">
        <f t="shared" si="5"/>
        <v>-140.87104967383794</v>
      </c>
      <c r="P70" s="5">
        <f t="shared" si="13"/>
        <v>0.65</v>
      </c>
      <c r="Q70" s="5">
        <f t="shared" si="14"/>
        <v>5.4340150340629751</v>
      </c>
      <c r="R70" s="5">
        <f t="shared" si="6"/>
        <v>-91.566182287994664</v>
      </c>
      <c r="V70" s="5"/>
      <c r="W70" s="5"/>
      <c r="X70" s="5"/>
    </row>
    <row r="71" spans="2:24" x14ac:dyDescent="0.3">
      <c r="B71" s="5">
        <f t="shared" si="15"/>
        <v>31</v>
      </c>
      <c r="C71" s="37">
        <f t="shared" si="16"/>
        <v>-2.4439112903225806E-3</v>
      </c>
      <c r="D71" s="37">
        <f t="shared" si="17"/>
        <v>-1.6899193548387096E-4</v>
      </c>
      <c r="E71" s="38">
        <f t="shared" si="0"/>
        <v>-4200</v>
      </c>
      <c r="F71" s="38">
        <f t="shared" si="1"/>
        <v>-337.98387096774189</v>
      </c>
      <c r="G71" s="11">
        <f t="shared" si="2"/>
        <v>26.349999999999998</v>
      </c>
      <c r="H71" s="38">
        <f t="shared" si="8"/>
        <v>-26108.340379629401</v>
      </c>
      <c r="I71" s="38">
        <f t="shared" si="9"/>
        <v>-2194.2553639315051</v>
      </c>
      <c r="J71" s="38">
        <f t="shared" si="10"/>
        <v>-117586.87499999999</v>
      </c>
      <c r="K71" s="5">
        <f t="shared" si="11"/>
        <v>3.068709057370691</v>
      </c>
      <c r="L71" s="5">
        <f t="shared" si="12"/>
        <v>-0.2579072898380993</v>
      </c>
      <c r="M71" s="5">
        <f t="shared" si="3"/>
        <v>5.0856323437500004</v>
      </c>
      <c r="N71" s="5">
        <f t="shared" si="4"/>
        <v>7.8964341112825922</v>
      </c>
      <c r="O71" s="5">
        <f t="shared" si="5"/>
        <v>-145.88947074356091</v>
      </c>
      <c r="P71" s="5">
        <f t="shared" si="13"/>
        <v>0.65</v>
      </c>
      <c r="Q71" s="5">
        <f t="shared" si="14"/>
        <v>5.1326821723336851</v>
      </c>
      <c r="R71" s="5">
        <f t="shared" si="6"/>
        <v>-94.828155983314588</v>
      </c>
      <c r="V71" s="5"/>
      <c r="W71" s="5"/>
      <c r="X71" s="5"/>
    </row>
    <row r="72" spans="2:24" x14ac:dyDescent="0.3">
      <c r="B72" s="5">
        <f t="shared" si="15"/>
        <v>32</v>
      </c>
      <c r="C72" s="37">
        <f t="shared" si="16"/>
        <v>-2.4612890625000002E-3</v>
      </c>
      <c r="D72" s="37">
        <f t="shared" si="17"/>
        <v>-2.5746093749999999E-4</v>
      </c>
      <c r="E72" s="38">
        <f t="shared" si="0"/>
        <v>-4200</v>
      </c>
      <c r="F72" s="38">
        <f t="shared" si="1"/>
        <v>-514.921875</v>
      </c>
      <c r="G72" s="11">
        <f t="shared" si="2"/>
        <v>27.2</v>
      </c>
      <c r="H72" s="38">
        <f t="shared" si="8"/>
        <v>-26108.340379629401</v>
      </c>
      <c r="I72" s="38">
        <f t="shared" si="9"/>
        <v>-3342.9704292967754</v>
      </c>
      <c r="J72" s="38">
        <f t="shared" si="10"/>
        <v>-121380</v>
      </c>
      <c r="K72" s="5">
        <f t="shared" si="11"/>
        <v>3.068709057370691</v>
      </c>
      <c r="L72" s="5">
        <f t="shared" si="12"/>
        <v>-0.39292438683346975</v>
      </c>
      <c r="M72" s="5">
        <f t="shared" si="3"/>
        <v>4.7338200000000006</v>
      </c>
      <c r="N72" s="5">
        <f t="shared" si="4"/>
        <v>7.409604670537222</v>
      </c>
      <c r="O72" s="5">
        <f t="shared" si="5"/>
        <v>-150.83131080892619</v>
      </c>
      <c r="P72" s="5">
        <f t="shared" si="13"/>
        <v>0.65</v>
      </c>
      <c r="Q72" s="5">
        <f t="shared" si="14"/>
        <v>4.8162430358491948</v>
      </c>
      <c r="R72" s="5">
        <f t="shared" si="6"/>
        <v>-98.040352025802022</v>
      </c>
      <c r="V72" s="5"/>
      <c r="W72" s="5"/>
      <c r="X72" s="5"/>
    </row>
    <row r="73" spans="2:24" x14ac:dyDescent="0.3">
      <c r="B73" s="5">
        <f t="shared" si="15"/>
        <v>33</v>
      </c>
      <c r="C73" s="37">
        <f t="shared" si="16"/>
        <v>-2.4776136363636367E-3</v>
      </c>
      <c r="D73" s="37">
        <f t="shared" si="17"/>
        <v>-3.4056818181818184E-4</v>
      </c>
      <c r="E73" s="38">
        <f t="shared" si="0"/>
        <v>-4200</v>
      </c>
      <c r="F73" s="38">
        <f t="shared" si="1"/>
        <v>-681.13636363636374</v>
      </c>
      <c r="G73" s="11">
        <f t="shared" si="2"/>
        <v>28.05</v>
      </c>
      <c r="H73" s="38">
        <f t="shared" si="8"/>
        <v>-26108.340379629401</v>
      </c>
      <c r="I73" s="38">
        <f t="shared" si="9"/>
        <v>-4422.0663997914235</v>
      </c>
      <c r="J73" s="38">
        <f t="shared" si="10"/>
        <v>-125173.125</v>
      </c>
      <c r="K73" s="5">
        <f t="shared" si="11"/>
        <v>3.068709057370691</v>
      </c>
      <c r="L73" s="5">
        <f t="shared" si="12"/>
        <v>-0.51975862946548446</v>
      </c>
      <c r="M73" s="5">
        <f t="shared" si="3"/>
        <v>4.3497660937499996</v>
      </c>
      <c r="N73" s="5">
        <f t="shared" si="4"/>
        <v>6.8987165216552064</v>
      </c>
      <c r="O73" s="5">
        <f t="shared" si="5"/>
        <v>-155.70353177942081</v>
      </c>
      <c r="P73" s="5">
        <f t="shared" si="13"/>
        <v>0.65</v>
      </c>
      <c r="Q73" s="5">
        <f t="shared" si="14"/>
        <v>4.484165739075884</v>
      </c>
      <c r="R73" s="5">
        <f t="shared" si="6"/>
        <v>-101.20729565662353</v>
      </c>
      <c r="V73" s="5"/>
      <c r="W73" s="5"/>
      <c r="X73" s="5"/>
    </row>
    <row r="74" spans="2:24" x14ac:dyDescent="0.3">
      <c r="B74" s="5">
        <f t="shared" si="15"/>
        <v>34</v>
      </c>
      <c r="C74" s="37">
        <f t="shared" si="16"/>
        <v>-2.4929779411764705E-3</v>
      </c>
      <c r="D74" s="37">
        <f t="shared" si="17"/>
        <v>-4.1878676470588237E-4</v>
      </c>
      <c r="E74" s="38">
        <f t="shared" si="0"/>
        <v>-4200</v>
      </c>
      <c r="F74" s="38">
        <f t="shared" si="1"/>
        <v>-837.57352941176475</v>
      </c>
      <c r="G74" s="11">
        <f t="shared" si="2"/>
        <v>28.9</v>
      </c>
      <c r="H74" s="38">
        <f t="shared" si="8"/>
        <v>-26108.340379629401</v>
      </c>
      <c r="I74" s="38">
        <f t="shared" si="9"/>
        <v>-5437.6861367275615</v>
      </c>
      <c r="J74" s="38">
        <f t="shared" si="10"/>
        <v>-128966.24999999999</v>
      </c>
      <c r="K74" s="5">
        <f t="shared" si="11"/>
        <v>3.068709057370691</v>
      </c>
      <c r="L74" s="5">
        <f t="shared" si="12"/>
        <v>-0.63913203429561571</v>
      </c>
      <c r="M74" s="5">
        <f t="shared" si="3"/>
        <v>3.9334706250000004</v>
      </c>
      <c r="N74" s="5">
        <f t="shared" si="4"/>
        <v>6.3630476480750762</v>
      </c>
      <c r="O74" s="5">
        <f t="shared" si="5"/>
        <v>-160.51227651635693</v>
      </c>
      <c r="P74" s="5">
        <f t="shared" si="13"/>
        <v>0.65</v>
      </c>
      <c r="Q74" s="5">
        <f t="shared" si="14"/>
        <v>4.1359809712487996</v>
      </c>
      <c r="R74" s="5">
        <f t="shared" si="6"/>
        <v>-104.33297973563201</v>
      </c>
      <c r="V74" s="5"/>
      <c r="W74" s="5"/>
      <c r="X74" s="5"/>
    </row>
    <row r="75" spans="2:24" x14ac:dyDescent="0.3">
      <c r="B75" s="5">
        <f t="shared" si="15"/>
        <v>35</v>
      </c>
      <c r="C75" s="37">
        <f t="shared" si="16"/>
        <v>-2.5074642857142856E-3</v>
      </c>
      <c r="D75" s="37">
        <f t="shared" si="17"/>
        <v>-4.9253571428571434E-4</v>
      </c>
      <c r="E75" s="38">
        <f t="shared" si="0"/>
        <v>-4200</v>
      </c>
      <c r="F75" s="38">
        <f t="shared" si="1"/>
        <v>-985.07142857142867</v>
      </c>
      <c r="G75" s="11">
        <f t="shared" si="2"/>
        <v>29.75</v>
      </c>
      <c r="H75" s="38">
        <f t="shared" si="8"/>
        <v>-26108.340379629401</v>
      </c>
      <c r="I75" s="38">
        <f t="shared" si="9"/>
        <v>-5236.4146208197944</v>
      </c>
      <c r="J75" s="38">
        <f t="shared" si="10"/>
        <v>-132759.375</v>
      </c>
      <c r="K75" s="5">
        <f t="shared" si="11"/>
        <v>3.068709057370691</v>
      </c>
      <c r="L75" s="5">
        <f t="shared" si="12"/>
        <v>-0.61547508349460656</v>
      </c>
      <c r="M75" s="5">
        <f t="shared" si="3"/>
        <v>3.4849335937500001</v>
      </c>
      <c r="N75" s="5">
        <f t="shared" si="4"/>
        <v>5.9381675676260848</v>
      </c>
      <c r="O75" s="5">
        <f t="shared" si="5"/>
        <v>-164.1041300004492</v>
      </c>
      <c r="P75" s="5">
        <f t="shared" si="13"/>
        <v>0.65</v>
      </c>
      <c r="Q75" s="5">
        <f t="shared" si="14"/>
        <v>3.8598089189569551</v>
      </c>
      <c r="R75" s="5">
        <f t="shared" si="6"/>
        <v>-106.66768450029198</v>
      </c>
      <c r="V75" s="5"/>
      <c r="W75" s="5"/>
      <c r="X75" s="5"/>
    </row>
    <row r="76" spans="2:24" x14ac:dyDescent="0.3">
      <c r="B76" s="5"/>
      <c r="N76" s="11">
        <v>0</v>
      </c>
      <c r="O76" s="11">
        <f>-(0.85*$C$4*(C8*C9-SUM(C28:D28))+SUM(C28:D28)*C6)/1000</f>
        <v>-208.40418075925879</v>
      </c>
      <c r="P76" s="5">
        <v>0.65</v>
      </c>
      <c r="Q76" s="5">
        <f>N76*P76</f>
        <v>0</v>
      </c>
      <c r="R76" s="5">
        <f>O76*P76</f>
        <v>-135.46271749351823</v>
      </c>
    </row>
    <row r="122" spans="7:7" ht="14.4" x14ac:dyDescent="0.3">
      <c r="G122" s="55"/>
    </row>
    <row r="123" spans="7:7" ht="14.4" x14ac:dyDescent="0.3">
      <c r="G123" s="55"/>
    </row>
  </sheetData>
  <mergeCells count="5">
    <mergeCell ref="B1:T1"/>
    <mergeCell ref="AJ1:AM1"/>
    <mergeCell ref="N5:S5"/>
    <mergeCell ref="AJ4:AM4"/>
    <mergeCell ref="K17:M17"/>
  </mergeCells>
  <dataValidations count="1">
    <dataValidation type="list" allowBlank="1" showInputMessage="1" showErrorMessage="1" sqref="O8 O12 R10 R8 R12 O10 L19" xr:uid="{244F7137-B8C8-4562-95E3-DD5A1876F823}">
      <formula1>$AJ$7:$AJ$16</formula1>
    </dataValidation>
  </dataValidations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5D76C-C26D-4D44-BB1E-78DD414D6237}">
  <dimension ref="B1:AN79"/>
  <sheetViews>
    <sheetView topLeftCell="A5" zoomScaleNormal="100" workbookViewId="0">
      <selection activeCell="V10" sqref="V10"/>
    </sheetView>
  </sheetViews>
  <sheetFormatPr defaultColWidth="9.6640625" defaultRowHeight="13.8" x14ac:dyDescent="0.3"/>
  <cols>
    <col min="1" max="1" width="3" style="11" customWidth="1"/>
    <col min="2" max="5" width="7.6640625" style="11" customWidth="1"/>
    <col min="6" max="8" width="9.6640625" style="11"/>
    <col min="9" max="19" width="7.6640625" style="11" customWidth="1"/>
    <col min="20" max="20" width="9.6640625" style="11"/>
    <col min="21" max="21" width="9.88671875" style="11" bestFit="1" customWidth="1"/>
    <col min="22" max="22" width="11" style="11" bestFit="1" customWidth="1"/>
    <col min="23" max="23" width="2.44140625" style="61" customWidth="1"/>
    <col min="24" max="24" width="9.6640625" style="11"/>
    <col min="25" max="25" width="9.6640625" style="11" customWidth="1"/>
    <col min="26" max="16384" width="9.6640625" style="11"/>
  </cols>
  <sheetData>
    <row r="1" spans="2:40" ht="36.6" x14ac:dyDescent="0.3">
      <c r="B1" s="56" t="s">
        <v>72</v>
      </c>
      <c r="C1" s="56"/>
      <c r="D1" s="56"/>
      <c r="E1" s="56"/>
      <c r="F1" s="56"/>
      <c r="G1" s="56"/>
      <c r="H1" s="56"/>
      <c r="I1" s="5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  <c r="AK1" s="57" t="s">
        <v>54</v>
      </c>
      <c r="AL1" s="57"/>
      <c r="AM1" s="57"/>
      <c r="AN1" s="57"/>
    </row>
    <row r="2" spans="2:40" x14ac:dyDescent="0.3">
      <c r="B2" s="43" t="s">
        <v>73</v>
      </c>
      <c r="E2" s="13"/>
      <c r="AK2" s="14"/>
      <c r="AL2" s="14"/>
      <c r="AM2" s="14"/>
      <c r="AN2" s="14"/>
    </row>
    <row r="3" spans="2:40" x14ac:dyDescent="0.3">
      <c r="E3" s="13"/>
      <c r="AK3" s="14"/>
      <c r="AL3" s="14"/>
      <c r="AM3" s="14"/>
      <c r="AN3" s="14"/>
    </row>
    <row r="4" spans="2:40" x14ac:dyDescent="0.3">
      <c r="B4" s="15" t="s">
        <v>26</v>
      </c>
      <c r="C4" s="48">
        <v>210</v>
      </c>
      <c r="D4" s="13" t="s">
        <v>24</v>
      </c>
      <c r="E4" s="13" t="s">
        <v>86</v>
      </c>
      <c r="AK4" s="57" t="s">
        <v>55</v>
      </c>
      <c r="AL4" s="57"/>
      <c r="AM4" s="57"/>
      <c r="AN4" s="57"/>
    </row>
    <row r="5" spans="2:40" x14ac:dyDescent="0.3">
      <c r="B5" s="15" t="s">
        <v>27</v>
      </c>
      <c r="C5" s="48">
        <v>0.85</v>
      </c>
      <c r="D5" s="13"/>
      <c r="E5" s="13"/>
      <c r="N5" s="58" t="s">
        <v>74</v>
      </c>
      <c r="O5" s="59"/>
      <c r="P5" s="59"/>
      <c r="Q5" s="59"/>
      <c r="R5" s="59"/>
      <c r="S5" s="60"/>
      <c r="V5" s="20"/>
      <c r="W5" s="62"/>
      <c r="AK5" s="14" t="s">
        <v>56</v>
      </c>
      <c r="AL5" s="14" t="s">
        <v>57</v>
      </c>
      <c r="AM5" s="14" t="s">
        <v>57</v>
      </c>
      <c r="AN5" s="14" t="s">
        <v>58</v>
      </c>
    </row>
    <row r="6" spans="2:40" x14ac:dyDescent="0.3">
      <c r="B6" s="15" t="s">
        <v>28</v>
      </c>
      <c r="C6" s="48">
        <v>4200</v>
      </c>
      <c r="D6" s="13" t="s">
        <v>24</v>
      </c>
      <c r="E6" s="13" t="s">
        <v>87</v>
      </c>
      <c r="N6" s="14" t="s">
        <v>71</v>
      </c>
      <c r="O6" s="16" t="s">
        <v>21</v>
      </c>
      <c r="P6" s="14"/>
      <c r="Q6" s="14" t="s">
        <v>71</v>
      </c>
      <c r="R6" s="16" t="s">
        <v>21</v>
      </c>
      <c r="S6" s="14"/>
      <c r="AK6" s="14"/>
      <c r="AL6" s="14" t="s">
        <v>70</v>
      </c>
      <c r="AM6" s="14" t="s">
        <v>25</v>
      </c>
      <c r="AN6" s="14" t="s">
        <v>59</v>
      </c>
    </row>
    <row r="7" spans="2:40" x14ac:dyDescent="0.3">
      <c r="B7" s="15" t="s">
        <v>29</v>
      </c>
      <c r="C7" s="48">
        <v>2000000</v>
      </c>
      <c r="D7" s="13" t="s">
        <v>24</v>
      </c>
      <c r="E7" s="13" t="s">
        <v>85</v>
      </c>
      <c r="N7" s="17"/>
      <c r="O7" s="17"/>
      <c r="P7" s="18"/>
      <c r="Q7" s="17"/>
      <c r="R7" s="17"/>
      <c r="S7" s="18"/>
      <c r="AK7" s="14">
        <v>2</v>
      </c>
      <c r="AL7" s="14" t="s">
        <v>60</v>
      </c>
      <c r="AM7" s="14">
        <v>0.8</v>
      </c>
      <c r="AN7" s="14">
        <v>0.50265482457436694</v>
      </c>
    </row>
    <row r="8" spans="2:40" x14ac:dyDescent="0.3">
      <c r="B8" s="15" t="s">
        <v>30</v>
      </c>
      <c r="C8" s="48">
        <v>25</v>
      </c>
      <c r="D8" s="13" t="s">
        <v>25</v>
      </c>
      <c r="E8" s="13" t="s">
        <v>37</v>
      </c>
      <c r="N8" s="6">
        <v>2</v>
      </c>
      <c r="O8" s="6">
        <v>4</v>
      </c>
      <c r="P8" s="7" t="str">
        <f>LOOKUP(O8,$AK$7:$AK$16,$AL$7:$AL$16)</f>
        <v>1/2"</v>
      </c>
      <c r="Q8" s="49">
        <v>2</v>
      </c>
      <c r="R8" s="49">
        <v>4</v>
      </c>
      <c r="S8" s="50" t="str">
        <f>LOOKUP(R8,$AK$7:$AK$16,$AL$7:$AL$16)</f>
        <v>1/2"</v>
      </c>
      <c r="X8" s="20" t="s">
        <v>92</v>
      </c>
      <c r="AK8" s="14">
        <v>3</v>
      </c>
      <c r="AL8" s="14" t="s">
        <v>61</v>
      </c>
      <c r="AM8" s="14">
        <v>0.95250000000000001</v>
      </c>
      <c r="AN8" s="14">
        <v>0.71255739248085614</v>
      </c>
    </row>
    <row r="9" spans="2:40" x14ac:dyDescent="0.3">
      <c r="B9" s="15" t="s">
        <v>31</v>
      </c>
      <c r="C9" s="48">
        <v>35</v>
      </c>
      <c r="D9" s="13" t="s">
        <v>25</v>
      </c>
      <c r="E9" s="13" t="s">
        <v>36</v>
      </c>
      <c r="N9" s="8"/>
      <c r="O9" s="4">
        <f>IF(N8=0,0,LOOKUP(O8,$AK$7:$AK$16,$AM$7:$AM$16))</f>
        <v>1.27</v>
      </c>
      <c r="P9" s="3">
        <f>IF(N8=0,0,LOOKUP(O8,$AK$7:$AK$16,$AN$7:$AN$16))</f>
        <v>1.2667686977437445</v>
      </c>
      <c r="Q9" s="4"/>
      <c r="R9" s="4">
        <f>IF(Q8=0,0,LOOKUP(R8,$AK$7:$AK$16,$AM$7:$AM$16))</f>
        <v>1.27</v>
      </c>
      <c r="S9" s="3">
        <f>IF(Q8=0,0,LOOKUP(R8,$AK$7:$AK$16,$AN$7:$AN$16))</f>
        <v>1.2667686977437445</v>
      </c>
      <c r="X9" s="20" t="s">
        <v>91</v>
      </c>
      <c r="AK9" s="14">
        <v>4</v>
      </c>
      <c r="AL9" s="14" t="s">
        <v>62</v>
      </c>
      <c r="AM9" s="14">
        <v>1.27</v>
      </c>
      <c r="AN9" s="14">
        <v>1.2667686977437445</v>
      </c>
    </row>
    <row r="10" spans="2:40" x14ac:dyDescent="0.3">
      <c r="B10" s="15" t="s">
        <v>32</v>
      </c>
      <c r="C10" s="48">
        <v>35</v>
      </c>
      <c r="D10" s="13"/>
      <c r="E10" s="13" t="s">
        <v>38</v>
      </c>
      <c r="N10" s="6">
        <v>1</v>
      </c>
      <c r="O10" s="6">
        <v>4</v>
      </c>
      <c r="P10" s="7" t="str">
        <f>LOOKUP(O10,$AK$7:$AK$16,$AL$7:$AL$16)</f>
        <v>1/2"</v>
      </c>
      <c r="Q10" s="49">
        <v>1</v>
      </c>
      <c r="R10" s="49">
        <v>4</v>
      </c>
      <c r="S10" s="50" t="str">
        <f>LOOKUP(R10,$AK$7:$AK$16,$AL$7:$AL$16)</f>
        <v>1/2"</v>
      </c>
      <c r="X10" s="20" t="s">
        <v>88</v>
      </c>
      <c r="AK10" s="14">
        <v>5</v>
      </c>
      <c r="AL10" s="14" t="s">
        <v>63</v>
      </c>
      <c r="AM10" s="14">
        <v>1.5874999999999999</v>
      </c>
      <c r="AN10" s="14">
        <v>1.9793260902246004</v>
      </c>
    </row>
    <row r="11" spans="2:40" x14ac:dyDescent="0.3">
      <c r="B11" s="15" t="s">
        <v>39</v>
      </c>
      <c r="C11" s="47">
        <v>4</v>
      </c>
      <c r="D11" s="13" t="s">
        <v>25</v>
      </c>
      <c r="E11" s="13" t="s">
        <v>40</v>
      </c>
      <c r="N11" s="8"/>
      <c r="O11" s="4">
        <f>IF(N10=0,0,LOOKUP(O10,$AK$7:$AK$16,$AM$7:$AM$16))</f>
        <v>1.27</v>
      </c>
      <c r="P11" s="3">
        <f>IF(N10=0,0,LOOKUP(O10,$AK$7:$AK$16,$AN$7:$AN$16))</f>
        <v>1.2667686977437445</v>
      </c>
      <c r="Q11" s="4"/>
      <c r="R11" s="4">
        <f>IF(Q10=0,0,LOOKUP(R10,$AK$7:$AK$16,$AM$7:$AM$16))</f>
        <v>1.27</v>
      </c>
      <c r="S11" s="3">
        <f>IF(Q10=0,0,LOOKUP(R10,$AK$7:$AK$16,$AN$7:$AN$16))</f>
        <v>1.2667686977437445</v>
      </c>
      <c r="X11" s="20" t="s">
        <v>90</v>
      </c>
      <c r="AK11" s="14">
        <v>6</v>
      </c>
      <c r="AL11" s="14" t="s">
        <v>64</v>
      </c>
      <c r="AM11" s="14">
        <v>1.905</v>
      </c>
      <c r="AN11" s="14">
        <v>2.8502295699234246</v>
      </c>
    </row>
    <row r="12" spans="2:40" x14ac:dyDescent="0.3">
      <c r="B12" s="15" t="s">
        <v>33</v>
      </c>
      <c r="C12" s="48">
        <v>3.0000000000000001E-3</v>
      </c>
      <c r="D12" s="13"/>
      <c r="E12" s="13" t="s">
        <v>101</v>
      </c>
      <c r="N12" s="9">
        <v>2</v>
      </c>
      <c r="O12" s="9">
        <v>4</v>
      </c>
      <c r="P12" s="10" t="str">
        <f>LOOKUP(O12,$AK$7:$AK$16,$AL$7:$AL$16)</f>
        <v>1/2"</v>
      </c>
      <c r="Q12" s="49">
        <v>2</v>
      </c>
      <c r="R12" s="49">
        <v>4</v>
      </c>
      <c r="S12" s="50" t="str">
        <f>LOOKUP(R12,$AK$7:$AK$16,$AL$7:$AL$16)</f>
        <v>1/2"</v>
      </c>
      <c r="X12" s="20" t="s">
        <v>93</v>
      </c>
      <c r="AK12" s="14">
        <v>7</v>
      </c>
      <c r="AL12" s="14" t="s">
        <v>65</v>
      </c>
      <c r="AM12" s="14">
        <v>2.2225000000000001</v>
      </c>
      <c r="AN12" s="14">
        <v>3.8794791368402173</v>
      </c>
    </row>
    <row r="13" spans="2:40" x14ac:dyDescent="0.3">
      <c r="B13" s="15" t="s">
        <v>34</v>
      </c>
      <c r="C13" s="11">
        <f>C6/C7</f>
        <v>2.0999999999999999E-3</v>
      </c>
      <c r="D13" s="13"/>
      <c r="E13" s="13" t="s">
        <v>89</v>
      </c>
      <c r="O13" s="2">
        <f>IF(N12=0,0,LOOKUP(O12,$AK$7:$AK$16,$AM$7:$AM$16))</f>
        <v>1.27</v>
      </c>
      <c r="P13" s="2">
        <f>IF(N12=0,0,LOOKUP(O12,$AK$7:$AK$16,$AN$7:$AN$16))</f>
        <v>1.2667686977437445</v>
      </c>
      <c r="Q13" s="2"/>
      <c r="R13" s="2">
        <f>IF(Q12=0,0,LOOKUP(R12,$AK$7:$AK$16,$AM$7:$AM$16))</f>
        <v>1.27</v>
      </c>
      <c r="S13" s="2">
        <f>IF(Q12=0,0,LOOKUP(R12,$AK$7:$AK$16,$AN$7:$AN$16))</f>
        <v>1.2667686977437445</v>
      </c>
      <c r="X13" s="20" t="s">
        <v>94</v>
      </c>
      <c r="AK13" s="14">
        <v>8</v>
      </c>
      <c r="AL13" s="14" t="s">
        <v>66</v>
      </c>
      <c r="AM13" s="14">
        <v>2.54</v>
      </c>
      <c r="AN13" s="14">
        <v>5.0670747909749778</v>
      </c>
    </row>
    <row r="14" spans="2:40" x14ac:dyDescent="0.3">
      <c r="E14" s="13"/>
      <c r="X14" s="20" t="s">
        <v>95</v>
      </c>
      <c r="AK14" s="14">
        <v>9</v>
      </c>
      <c r="AL14" s="14" t="s">
        <v>67</v>
      </c>
      <c r="AM14" s="14">
        <v>2.8574999999999999</v>
      </c>
      <c r="AN14" s="14">
        <v>6.4130165323277053</v>
      </c>
    </row>
    <row r="15" spans="2:40" x14ac:dyDescent="0.3">
      <c r="B15" s="43" t="s">
        <v>76</v>
      </c>
      <c r="X15" s="20" t="s">
        <v>96</v>
      </c>
      <c r="AK15" s="14">
        <v>10</v>
      </c>
      <c r="AL15" s="14" t="s">
        <v>68</v>
      </c>
      <c r="AM15" s="14">
        <v>3.1749999999999998</v>
      </c>
      <c r="AN15" s="14">
        <v>7.9173043608984015</v>
      </c>
    </row>
    <row r="16" spans="2:40" x14ac:dyDescent="0.3">
      <c r="X16" s="20" t="s">
        <v>97</v>
      </c>
      <c r="AK16" s="14">
        <v>11</v>
      </c>
      <c r="AL16" s="14" t="s">
        <v>69</v>
      </c>
      <c r="AM16" s="14">
        <v>3.4925000000000002</v>
      </c>
      <c r="AN16" s="14">
        <v>9.5799382766870682</v>
      </c>
    </row>
    <row r="17" spans="2:24" x14ac:dyDescent="0.3">
      <c r="B17" s="15" t="s">
        <v>41</v>
      </c>
      <c r="C17" s="19">
        <f>N8*P9+Q8*S9</f>
        <v>5.0670747909749778</v>
      </c>
      <c r="D17" s="20" t="s">
        <v>59</v>
      </c>
      <c r="K17" s="58" t="s">
        <v>75</v>
      </c>
      <c r="L17" s="59"/>
      <c r="M17" s="60"/>
      <c r="X17" s="20" t="s">
        <v>98</v>
      </c>
    </row>
    <row r="18" spans="2:24" x14ac:dyDescent="0.3">
      <c r="B18" s="15" t="s">
        <v>42</v>
      </c>
      <c r="C18" s="19">
        <f>N10*P11+Q10*S11</f>
        <v>2.5335373954874889</v>
      </c>
      <c r="D18" s="20" t="s">
        <v>59</v>
      </c>
      <c r="K18" s="14" t="s">
        <v>71</v>
      </c>
      <c r="L18" s="16" t="s">
        <v>21</v>
      </c>
      <c r="M18" s="14"/>
    </row>
    <row r="19" spans="2:24" x14ac:dyDescent="0.3">
      <c r="B19" s="15" t="s">
        <v>43</v>
      </c>
      <c r="C19" s="19">
        <f>N12*P13+Q12*S13</f>
        <v>5.0670747909749778</v>
      </c>
      <c r="D19" s="20" t="s">
        <v>59</v>
      </c>
      <c r="K19" s="39">
        <v>1</v>
      </c>
      <c r="L19" s="41">
        <v>3</v>
      </c>
      <c r="M19" s="40" t="str">
        <f>LOOKUP(L19,$AK$7:$AK$16,$AL$7:$AL$16)</f>
        <v>3/8"</v>
      </c>
    </row>
    <row r="20" spans="2:24" x14ac:dyDescent="0.3">
      <c r="B20" s="15"/>
      <c r="C20" s="19"/>
      <c r="D20" s="20"/>
      <c r="K20" s="21"/>
      <c r="L20" s="2">
        <f>IF(K19=0,0,LOOKUP(L19,$AK$7:$AK$16,$AM$7:$AM$16))</f>
        <v>0.95250000000000001</v>
      </c>
      <c r="M20" s="2">
        <f>IF(K19=0,0,LOOKUP(L19,$AK$7:$AK$16,$AN$7:$AN$16))</f>
        <v>0.71255739248085614</v>
      </c>
    </row>
    <row r="21" spans="2:24" x14ac:dyDescent="0.3">
      <c r="B21" s="43" t="s">
        <v>82</v>
      </c>
      <c r="E21" s="22"/>
      <c r="F21" s="22"/>
      <c r="G21" s="23"/>
      <c r="K21" s="21"/>
      <c r="L21" s="21"/>
      <c r="M21" s="21"/>
    </row>
    <row r="22" spans="2:24" x14ac:dyDescent="0.3">
      <c r="E22" s="22"/>
      <c r="F22" s="22"/>
      <c r="G22" s="22"/>
    </row>
    <row r="23" spans="2:24" x14ac:dyDescent="0.3">
      <c r="B23" s="15" t="s">
        <v>77</v>
      </c>
      <c r="C23" s="5">
        <f>C11+L20+MAX(O9,R9)/2</f>
        <v>5.5874999999999995</v>
      </c>
      <c r="D23" s="13" t="s">
        <v>25</v>
      </c>
      <c r="N23" s="22"/>
      <c r="O23" s="22"/>
    </row>
    <row r="24" spans="2:24" x14ac:dyDescent="0.3">
      <c r="B24" s="15" t="s">
        <v>78</v>
      </c>
      <c r="C24" s="5">
        <f>C11+L20+MAX(O9,R9)+MAX(O11,R11)/2+(C9-2*C11-2*L20-MAX(O9,R9)-MAX(O11,R11)-MAX(O13,R13))/2</f>
        <v>17.5</v>
      </c>
      <c r="D24" s="13" t="s">
        <v>25</v>
      </c>
      <c r="N24" s="24" t="str">
        <f>_xlfn.CONCAT(N8,"Ø",P8," + ",Q8,"Ø",S8)</f>
        <v>2Ø1/2" + 2Ø1/2"</v>
      </c>
      <c r="O24" s="22"/>
    </row>
    <row r="25" spans="2:24" x14ac:dyDescent="0.3">
      <c r="B25" s="15" t="s">
        <v>79</v>
      </c>
      <c r="C25" s="5">
        <f>C9-C11-L20-MAX(O13,R13)/2</f>
        <v>29.412499999999998</v>
      </c>
      <c r="D25" s="13" t="s">
        <v>25</v>
      </c>
      <c r="N25" s="24"/>
      <c r="O25" s="22"/>
    </row>
    <row r="26" spans="2:24" x14ac:dyDescent="0.3">
      <c r="B26" s="15"/>
      <c r="C26" s="5"/>
      <c r="D26" s="13"/>
      <c r="E26" s="5"/>
      <c r="F26" s="5"/>
      <c r="N26" s="24"/>
      <c r="O26" s="22"/>
    </row>
    <row r="27" spans="2:24" x14ac:dyDescent="0.3">
      <c r="B27" s="43" t="s">
        <v>83</v>
      </c>
      <c r="N27" s="24"/>
      <c r="O27" s="22"/>
    </row>
    <row r="28" spans="2:24" x14ac:dyDescent="0.3">
      <c r="N28" s="24" t="str">
        <f>_xlfn.CONCAT(N10,"Ø",P10," + ",Q10,"Ø",S10)</f>
        <v>1Ø1/2" + 1Ø1/2"</v>
      </c>
      <c r="O28" s="22"/>
    </row>
    <row r="29" spans="2:24" x14ac:dyDescent="0.3">
      <c r="B29" s="25" t="s">
        <v>2</v>
      </c>
      <c r="C29" s="26">
        <v>1</v>
      </c>
      <c r="D29" s="26">
        <v>3</v>
      </c>
      <c r="E29" s="27">
        <v>5</v>
      </c>
      <c r="N29" s="24"/>
      <c r="O29" s="22"/>
    </row>
    <row r="30" spans="2:24" x14ac:dyDescent="0.3">
      <c r="B30" s="28" t="s">
        <v>0</v>
      </c>
      <c r="C30" s="29">
        <f>+C17</f>
        <v>5.0670747909749778</v>
      </c>
      <c r="D30" s="30">
        <f>+C18</f>
        <v>2.5335373954874889</v>
      </c>
      <c r="E30" s="31">
        <f>+C19</f>
        <v>5.0670747909749778</v>
      </c>
      <c r="I30" s="35" t="str">
        <f>_xlfn.CONCAT(K19,"Ø",M19)</f>
        <v>1Ø3/8"</v>
      </c>
      <c r="N30" s="24"/>
      <c r="O30" s="22"/>
    </row>
    <row r="31" spans="2:24" x14ac:dyDescent="0.3">
      <c r="B31" s="32" t="s">
        <v>1</v>
      </c>
      <c r="C31" s="33">
        <f>C23</f>
        <v>5.5874999999999995</v>
      </c>
      <c r="D31" s="34">
        <f>C24</f>
        <v>17.5</v>
      </c>
      <c r="E31" s="45">
        <f>C25</f>
        <v>29.412499999999998</v>
      </c>
      <c r="N31" s="24"/>
      <c r="O31" s="22"/>
      <c r="X31" s="20" t="s">
        <v>99</v>
      </c>
    </row>
    <row r="32" spans="2:24" x14ac:dyDescent="0.3">
      <c r="N32" s="24" t="str">
        <f>_xlfn.CONCAT(N12,"Ø",P12," + ",Q12,"Ø",S12)</f>
        <v>2Ø1/2" + 2Ø1/2"</v>
      </c>
      <c r="O32" s="22"/>
      <c r="X32" s="20" t="s">
        <v>100</v>
      </c>
    </row>
    <row r="33" spans="2:25" x14ac:dyDescent="0.3">
      <c r="X33" s="20"/>
    </row>
    <row r="34" spans="2:25" x14ac:dyDescent="0.3">
      <c r="B34" s="43" t="s">
        <v>84</v>
      </c>
      <c r="X34" s="20"/>
    </row>
    <row r="35" spans="2:25" ht="14.4" x14ac:dyDescent="0.3">
      <c r="B35" s="12"/>
    </row>
    <row r="36" spans="2:25" ht="14.4" x14ac:dyDescent="0.3">
      <c r="B36" s="12"/>
      <c r="L36" s="46"/>
    </row>
    <row r="37" spans="2:25" ht="14.4" x14ac:dyDescent="0.3">
      <c r="B37" s="12"/>
    </row>
    <row r="38" spans="2:25" ht="14.4" x14ac:dyDescent="0.3">
      <c r="B38" s="12"/>
    </row>
    <row r="39" spans="2:25" x14ac:dyDescent="0.3">
      <c r="B39" s="15" t="s">
        <v>35</v>
      </c>
      <c r="C39" s="5">
        <f>(C30*C31+D30*D31+E30*E31+C8*C9*C9/2)/(C30+D30+E30+C8*C9)</f>
        <v>17.5</v>
      </c>
      <c r="D39" s="13" t="s">
        <v>25</v>
      </c>
      <c r="F39" s="22"/>
      <c r="G39" s="22"/>
    </row>
    <row r="42" spans="2:25" x14ac:dyDescent="0.3">
      <c r="B42" s="36" t="s">
        <v>7</v>
      </c>
      <c r="C42" s="36" t="s">
        <v>3</v>
      </c>
      <c r="D42" s="36" t="s">
        <v>4</v>
      </c>
      <c r="E42" s="36" t="s">
        <v>5</v>
      </c>
      <c r="F42" s="36" t="s">
        <v>8</v>
      </c>
      <c r="G42" s="36" t="s">
        <v>9</v>
      </c>
      <c r="H42" s="36" t="s">
        <v>10</v>
      </c>
      <c r="I42" s="36" t="s">
        <v>11</v>
      </c>
      <c r="J42" s="36" t="s">
        <v>12</v>
      </c>
      <c r="K42" s="36" t="s">
        <v>13</v>
      </c>
      <c r="L42" s="36" t="s">
        <v>14</v>
      </c>
      <c r="M42" s="36" t="s">
        <v>15</v>
      </c>
      <c r="N42" s="36" t="s">
        <v>17</v>
      </c>
      <c r="O42" s="36" t="s">
        <v>18</v>
      </c>
      <c r="P42" s="36" t="s">
        <v>19</v>
      </c>
      <c r="Q42" s="36" t="s">
        <v>20</v>
      </c>
      <c r="R42" s="36" t="s">
        <v>16</v>
      </c>
      <c r="S42" s="36" t="s">
        <v>6</v>
      </c>
      <c r="T42" s="36" t="s">
        <v>21</v>
      </c>
      <c r="U42" s="36" t="s">
        <v>22</v>
      </c>
      <c r="V42" s="36" t="s">
        <v>23</v>
      </c>
      <c r="W42" s="63"/>
      <c r="X42" s="36"/>
      <c r="Y42" s="36"/>
    </row>
    <row r="43" spans="2:25" x14ac:dyDescent="0.3">
      <c r="R43" s="11">
        <v>0</v>
      </c>
      <c r="S43" s="11">
        <f>(SUM(C30:E30)*C6)/1000</f>
        <v>53.204285305237264</v>
      </c>
      <c r="T43" s="11">
        <v>0.9</v>
      </c>
      <c r="U43" s="5">
        <f>R43*T43</f>
        <v>0</v>
      </c>
      <c r="V43" s="5">
        <f>S43*T43</f>
        <v>47.883856774713536</v>
      </c>
      <c r="W43" s="64"/>
    </row>
    <row r="44" spans="2:25" x14ac:dyDescent="0.3">
      <c r="B44" s="5">
        <f>C9/C10</f>
        <v>1</v>
      </c>
      <c r="C44" s="37">
        <f>$C$12*(C$31-$B44)/$B44</f>
        <v>1.3762499999999999E-2</v>
      </c>
      <c r="D44" s="37">
        <f>$C$12*(D$31-$B44)/$B44</f>
        <v>4.9500000000000002E-2</v>
      </c>
      <c r="E44" s="37">
        <f>$C$12*(E$31-$B44)/$B44</f>
        <v>8.5237499999999994E-2</v>
      </c>
      <c r="F44" s="38">
        <f>IF(C44&lt;-$C$13,-$C$6,IF(C44&lt;=$C$13,C44*$C$7,$C$6))</f>
        <v>4200</v>
      </c>
      <c r="G44" s="38">
        <f>IF(D44&lt;-$C$13,-$C$6,IF(D44&lt;=$C$13,D44*$C$7,$C$6))</f>
        <v>4200</v>
      </c>
      <c r="H44" s="38">
        <f>IF(E44&lt;-$C$13,-$C$6,IF(E44&lt;=$C$13,E44*$C$7,$C$6))</f>
        <v>4200</v>
      </c>
      <c r="I44" s="11">
        <f>$C$5*B44</f>
        <v>0.85</v>
      </c>
      <c r="J44" s="38">
        <f>IF(C$31&lt;$I44,F44*C$30+0.85*$C$4*C$30,F44*C$30)</f>
        <v>21281.714122094905</v>
      </c>
      <c r="K44" s="38">
        <f>IF(D$31&lt;$I44,G44*D$30+0.85*$C$4*D$30,G44*D$30)</f>
        <v>10640.857061047453</v>
      </c>
      <c r="L44" s="38">
        <f>IF(E$31&lt;$I44,H44*E$30+0.85*$C$4*E$30,H44*E$30)</f>
        <v>21281.714122094905</v>
      </c>
      <c r="M44" s="38">
        <f t="shared" ref="M44:M78" si="0">-0.85*$C$4*I44*$C$8</f>
        <v>-3793.125</v>
      </c>
      <c r="N44" s="5">
        <f t="shared" ref="N44:N78" si="1">(J44*(C$31-$C$39))/100000</f>
        <v>-2.5351841947945561</v>
      </c>
      <c r="O44" s="5">
        <f t="shared" ref="O44:O78" si="2">(K44*(D$31-$C$39))/100000</f>
        <v>0</v>
      </c>
      <c r="P44" s="5">
        <f t="shared" ref="P44:P78" si="3">(L44*(E$31-$C$39))/100000</f>
        <v>2.5351841947945553</v>
      </c>
      <c r="Q44" s="5">
        <f>(M44*(I44/2-$C$39))/100000</f>
        <v>0.64767609375000001</v>
      </c>
      <c r="R44" s="5">
        <f t="shared" ref="R44:R78" si="4">SUM(N44:Q44)</f>
        <v>0.64767609374999913</v>
      </c>
      <c r="S44" s="5">
        <f t="shared" ref="S44:S78" si="5">SUM(J44:M44)/1000</f>
        <v>49.411160305237267</v>
      </c>
      <c r="T44" s="5">
        <f>_xlfn.IFS(E44&gt;0.005,0.9,E44&lt;$C$13,0.65,E44&lt;&gt;0.005,(0.9-0.65)*(E44-$C$13)/(0.005-$C$13)+0.65,E44&lt;&gt;$C$13,(0.9-0.65)*(E44-$C$13)/(0.005-$C$13)+0.65)</f>
        <v>0.9</v>
      </c>
      <c r="U44" s="5">
        <f>R44*T44</f>
        <v>0.5829084843749992</v>
      </c>
      <c r="V44" s="5">
        <f t="shared" ref="V44:V78" si="6">S44*T44</f>
        <v>44.470044274713544</v>
      </c>
      <c r="W44" s="64"/>
      <c r="X44" s="5"/>
      <c r="Y44" s="5"/>
    </row>
    <row r="45" spans="2:25" x14ac:dyDescent="0.3">
      <c r="B45" s="5">
        <f>B44+$C$9/$C$10</f>
        <v>2</v>
      </c>
      <c r="C45" s="37">
        <f t="shared" ref="C45:E75" si="7">$C$12*(C$31-$B45)/$B45</f>
        <v>5.3812499999999989E-3</v>
      </c>
      <c r="D45" s="37">
        <f t="shared" si="7"/>
        <v>2.325E-2</v>
      </c>
      <c r="E45" s="37">
        <f t="shared" si="7"/>
        <v>4.1118749999999996E-2</v>
      </c>
      <c r="F45" s="38">
        <f t="shared" ref="F45:F78" si="8">IF(C45&lt;-$C$13,-$C$6,IF(C45&lt;=$C$13,C45*$C$7,$C$6))</f>
        <v>4200</v>
      </c>
      <c r="G45" s="38">
        <f t="shared" ref="G45:G78" si="9">IF(D45&lt;-$C$13,-$C$6,IF(D45&lt;=$C$13,D45*$C$7,$C$6))</f>
        <v>4200</v>
      </c>
      <c r="H45" s="38">
        <f t="shared" ref="H45:H78" si="10">IF(E45&lt;-$C$13,-$C$6,IF(E45&lt;=$C$13,E45*$C$7,$C$6))</f>
        <v>4200</v>
      </c>
      <c r="I45" s="11">
        <f t="shared" ref="I45:I78" si="11">$C$5*B45</f>
        <v>1.7</v>
      </c>
      <c r="J45" s="38">
        <f t="shared" ref="J45:J78" si="12">IF(C$31&lt;$I45,F45*C$30+0.85*$C$4*C$30,F45*C$30)</f>
        <v>21281.714122094905</v>
      </c>
      <c r="K45" s="38">
        <f t="shared" ref="K45:K78" si="13">IF(D$31&lt;$I45,G45*D$30+0.85*$C$4*D$30,G45*D$30)</f>
        <v>10640.857061047453</v>
      </c>
      <c r="L45" s="38">
        <f t="shared" ref="L45:L78" si="14">IF(E$31&lt;$I45,H45*E$30+0.85*$C$4*E$30,H45*E$30)</f>
        <v>21281.714122094905</v>
      </c>
      <c r="M45" s="38">
        <f t="shared" si="0"/>
        <v>-7586.25</v>
      </c>
      <c r="N45" s="5">
        <f t="shared" si="1"/>
        <v>-2.5351841947945561</v>
      </c>
      <c r="O45" s="5">
        <f t="shared" si="2"/>
        <v>0</v>
      </c>
      <c r="P45" s="5">
        <f t="shared" si="3"/>
        <v>2.5351841947945553</v>
      </c>
      <c r="Q45" s="5">
        <f t="shared" ref="Q45:Q78" si="15">(M45*(I45/2-$C$39))/100000</f>
        <v>1.2631106249999999</v>
      </c>
      <c r="R45" s="5">
        <f t="shared" si="4"/>
        <v>1.263110624999999</v>
      </c>
      <c r="S45" s="5">
        <f t="shared" si="5"/>
        <v>45.618035305237264</v>
      </c>
      <c r="T45" s="5">
        <f t="shared" ref="T45:T78" si="16">_xlfn.IFS(E45&gt;0.005,0.9,E45&lt;$C$13,0.65,E45&lt;&gt;0.005,(0.9-0.65)*(E45-$C$13)/(0.005-$C$13)+0.65,E45&lt;&gt;$C$13,(0.9-0.65)*(E45-$C$13)/(0.005-$C$13)+0.65)</f>
        <v>0.9</v>
      </c>
      <c r="U45" s="5">
        <f t="shared" ref="U45:U78" si="17">R45*T45</f>
        <v>1.1367995624999991</v>
      </c>
      <c r="V45" s="5">
        <f t="shared" si="6"/>
        <v>41.056231774713538</v>
      </c>
      <c r="W45" s="64"/>
      <c r="X45" s="5"/>
      <c r="Y45" s="5"/>
    </row>
    <row r="46" spans="2:25" x14ac:dyDescent="0.3">
      <c r="B46" s="5">
        <f t="shared" ref="B46:B78" si="18">B45+$C$9/$C$10</f>
        <v>3</v>
      </c>
      <c r="C46" s="37">
        <f t="shared" si="7"/>
        <v>2.5874999999999995E-3</v>
      </c>
      <c r="D46" s="37">
        <f t="shared" si="7"/>
        <v>1.4500000000000001E-2</v>
      </c>
      <c r="E46" s="37">
        <f t="shared" si="7"/>
        <v>2.6412499999999995E-2</v>
      </c>
      <c r="F46" s="38">
        <f t="shared" si="8"/>
        <v>4200</v>
      </c>
      <c r="G46" s="38">
        <f t="shared" si="9"/>
        <v>4200</v>
      </c>
      <c r="H46" s="38">
        <f t="shared" si="10"/>
        <v>4200</v>
      </c>
      <c r="I46" s="11">
        <f t="shared" si="11"/>
        <v>2.5499999999999998</v>
      </c>
      <c r="J46" s="38">
        <f t="shared" si="12"/>
        <v>21281.714122094905</v>
      </c>
      <c r="K46" s="38">
        <f t="shared" si="13"/>
        <v>10640.857061047453</v>
      </c>
      <c r="L46" s="38">
        <f t="shared" si="14"/>
        <v>21281.714122094905</v>
      </c>
      <c r="M46" s="38">
        <f t="shared" si="0"/>
        <v>-11379.374999999998</v>
      </c>
      <c r="N46" s="5">
        <f t="shared" si="1"/>
        <v>-2.5351841947945561</v>
      </c>
      <c r="O46" s="5">
        <f t="shared" si="2"/>
        <v>0</v>
      </c>
      <c r="P46" s="5">
        <f t="shared" si="3"/>
        <v>2.5351841947945553</v>
      </c>
      <c r="Q46" s="5">
        <f t="shared" si="15"/>
        <v>1.8463035937500001</v>
      </c>
      <c r="R46" s="5">
        <f t="shared" si="4"/>
        <v>1.8463035937499992</v>
      </c>
      <c r="S46" s="5">
        <f t="shared" si="5"/>
        <v>41.824910305237267</v>
      </c>
      <c r="T46" s="5">
        <f t="shared" si="16"/>
        <v>0.9</v>
      </c>
      <c r="U46" s="5">
        <f t="shared" si="17"/>
        <v>1.6616732343749994</v>
      </c>
      <c r="V46" s="5">
        <f t="shared" si="6"/>
        <v>37.642419274713539</v>
      </c>
      <c r="W46" s="64"/>
      <c r="X46" s="5"/>
      <c r="Y46" s="5"/>
    </row>
    <row r="47" spans="2:25" x14ac:dyDescent="0.3">
      <c r="B47" s="5">
        <f t="shared" si="18"/>
        <v>4</v>
      </c>
      <c r="C47" s="37">
        <f t="shared" si="7"/>
        <v>1.1906249999999996E-3</v>
      </c>
      <c r="D47" s="37">
        <f t="shared" si="7"/>
        <v>1.0125E-2</v>
      </c>
      <c r="E47" s="37">
        <f t="shared" si="7"/>
        <v>1.9059375E-2</v>
      </c>
      <c r="F47" s="38">
        <f t="shared" si="8"/>
        <v>2381.2499999999991</v>
      </c>
      <c r="G47" s="38">
        <f t="shared" si="9"/>
        <v>4200</v>
      </c>
      <c r="H47" s="38">
        <f t="shared" si="10"/>
        <v>4200</v>
      </c>
      <c r="I47" s="11">
        <f t="shared" si="11"/>
        <v>3.4</v>
      </c>
      <c r="J47" s="38">
        <f t="shared" si="12"/>
        <v>12065.971846009161</v>
      </c>
      <c r="K47" s="38">
        <f t="shared" si="13"/>
        <v>10640.857061047453</v>
      </c>
      <c r="L47" s="38">
        <f t="shared" si="14"/>
        <v>21281.714122094905</v>
      </c>
      <c r="M47" s="38">
        <f t="shared" si="0"/>
        <v>-15172.5</v>
      </c>
      <c r="N47" s="5">
        <f t="shared" si="1"/>
        <v>-1.4373588961558414</v>
      </c>
      <c r="O47" s="5">
        <f t="shared" si="2"/>
        <v>0</v>
      </c>
      <c r="P47" s="5">
        <f t="shared" si="3"/>
        <v>2.5351841947945553</v>
      </c>
      <c r="Q47" s="5">
        <f t="shared" si="15"/>
        <v>2.3972549999999999</v>
      </c>
      <c r="R47" s="5">
        <f t="shared" si="4"/>
        <v>3.4950802986387135</v>
      </c>
      <c r="S47" s="5">
        <f t="shared" si="5"/>
        <v>28.816043029151523</v>
      </c>
      <c r="T47" s="5">
        <f t="shared" si="16"/>
        <v>0.9</v>
      </c>
      <c r="U47" s="5">
        <f t="shared" si="17"/>
        <v>3.1455722687748424</v>
      </c>
      <c r="V47" s="5">
        <f t="shared" si="6"/>
        <v>25.934438726236372</v>
      </c>
      <c r="W47" s="64"/>
      <c r="X47" s="5"/>
      <c r="Y47" s="5"/>
    </row>
    <row r="48" spans="2:25" x14ac:dyDescent="0.3">
      <c r="B48" s="5">
        <f t="shared" si="18"/>
        <v>5</v>
      </c>
      <c r="C48" s="37">
        <f t="shared" si="7"/>
        <v>3.5249999999999968E-4</v>
      </c>
      <c r="D48" s="37">
        <f t="shared" si="7"/>
        <v>7.4999999999999997E-3</v>
      </c>
      <c r="E48" s="37">
        <f t="shared" si="7"/>
        <v>1.4647499999999999E-2</v>
      </c>
      <c r="F48" s="38">
        <f t="shared" si="8"/>
        <v>704.99999999999932</v>
      </c>
      <c r="G48" s="38">
        <f t="shared" si="9"/>
        <v>4200</v>
      </c>
      <c r="H48" s="38">
        <f t="shared" si="10"/>
        <v>4200</v>
      </c>
      <c r="I48" s="11">
        <f t="shared" si="11"/>
        <v>4.25</v>
      </c>
      <c r="J48" s="38">
        <f t="shared" si="12"/>
        <v>3572.2877276373561</v>
      </c>
      <c r="K48" s="38">
        <f t="shared" si="13"/>
        <v>10640.857061047453</v>
      </c>
      <c r="L48" s="38">
        <f t="shared" si="14"/>
        <v>21281.714122094905</v>
      </c>
      <c r="M48" s="38">
        <f t="shared" si="0"/>
        <v>-18965.625</v>
      </c>
      <c r="N48" s="5">
        <f t="shared" si="1"/>
        <v>-0.42554877555480008</v>
      </c>
      <c r="O48" s="5">
        <f t="shared" si="2"/>
        <v>0</v>
      </c>
      <c r="P48" s="5">
        <f t="shared" si="3"/>
        <v>2.5351841947945553</v>
      </c>
      <c r="Q48" s="5">
        <f t="shared" si="15"/>
        <v>2.9159648437499999</v>
      </c>
      <c r="R48" s="5">
        <f t="shared" si="4"/>
        <v>5.0256002629897552</v>
      </c>
      <c r="S48" s="5">
        <f t="shared" si="5"/>
        <v>16.529233910779716</v>
      </c>
      <c r="T48" s="5">
        <f t="shared" si="16"/>
        <v>0.9</v>
      </c>
      <c r="U48" s="5">
        <f t="shared" si="17"/>
        <v>4.5230402366907798</v>
      </c>
      <c r="V48" s="5">
        <f t="shared" si="6"/>
        <v>14.876310519701745</v>
      </c>
      <c r="W48" s="64"/>
      <c r="X48" s="5"/>
      <c r="Y48" s="5"/>
    </row>
    <row r="49" spans="2:25" x14ac:dyDescent="0.3">
      <c r="B49" s="5">
        <f t="shared" si="18"/>
        <v>6</v>
      </c>
      <c r="C49" s="37">
        <f t="shared" si="7"/>
        <v>-2.0625000000000027E-4</v>
      </c>
      <c r="D49" s="37">
        <f t="shared" si="7"/>
        <v>5.7500000000000008E-3</v>
      </c>
      <c r="E49" s="37">
        <f t="shared" si="7"/>
        <v>1.170625E-2</v>
      </c>
      <c r="F49" s="38">
        <f t="shared" si="8"/>
        <v>-412.50000000000051</v>
      </c>
      <c r="G49" s="38">
        <f t="shared" si="9"/>
        <v>4200</v>
      </c>
      <c r="H49" s="38">
        <f t="shared" si="10"/>
        <v>4200</v>
      </c>
      <c r="I49" s="11">
        <f t="shared" si="11"/>
        <v>5.0999999999999996</v>
      </c>
      <c r="J49" s="38">
        <f t="shared" si="12"/>
        <v>-2090.168351277181</v>
      </c>
      <c r="K49" s="38">
        <f t="shared" si="13"/>
        <v>10640.857061047453</v>
      </c>
      <c r="L49" s="38">
        <f t="shared" si="14"/>
        <v>21281.714122094905</v>
      </c>
      <c r="M49" s="38">
        <f t="shared" si="0"/>
        <v>-22758.749999999996</v>
      </c>
      <c r="N49" s="5">
        <f t="shared" si="1"/>
        <v>0.24899130484589424</v>
      </c>
      <c r="O49" s="5">
        <f t="shared" si="2"/>
        <v>0</v>
      </c>
      <c r="P49" s="5">
        <f t="shared" si="3"/>
        <v>2.5351841947945553</v>
      </c>
      <c r="Q49" s="5">
        <f t="shared" si="15"/>
        <v>3.4024331249999995</v>
      </c>
      <c r="R49" s="5">
        <f t="shared" si="4"/>
        <v>6.1866086246404492</v>
      </c>
      <c r="S49" s="5">
        <f t="shared" si="5"/>
        <v>7.0736528318651803</v>
      </c>
      <c r="T49" s="5">
        <f t="shared" si="16"/>
        <v>0.9</v>
      </c>
      <c r="U49" s="5">
        <f t="shared" si="17"/>
        <v>5.5679477621764049</v>
      </c>
      <c r="V49" s="5">
        <f t="shared" si="6"/>
        <v>6.3662875486786623</v>
      </c>
      <c r="W49" s="64"/>
      <c r="X49" s="5"/>
      <c r="Y49" s="5"/>
    </row>
    <row r="50" spans="2:25" x14ac:dyDescent="0.3">
      <c r="B50" s="5">
        <f t="shared" si="18"/>
        <v>7</v>
      </c>
      <c r="C50" s="37">
        <f t="shared" si="7"/>
        <v>-6.0535714285714305E-4</v>
      </c>
      <c r="D50" s="37">
        <f t="shared" si="7"/>
        <v>4.4999999999999997E-3</v>
      </c>
      <c r="E50" s="37">
        <f t="shared" si="7"/>
        <v>9.6053571428571412E-3</v>
      </c>
      <c r="F50" s="38">
        <f t="shared" si="8"/>
        <v>-1210.714285714286</v>
      </c>
      <c r="G50" s="38">
        <f t="shared" si="9"/>
        <v>4200</v>
      </c>
      <c r="H50" s="38">
        <f t="shared" si="10"/>
        <v>4200</v>
      </c>
      <c r="I50" s="11">
        <f t="shared" si="11"/>
        <v>5.95</v>
      </c>
      <c r="J50" s="38">
        <f t="shared" si="12"/>
        <v>-5230.3069860271025</v>
      </c>
      <c r="K50" s="38">
        <f t="shared" si="13"/>
        <v>10640.857061047453</v>
      </c>
      <c r="L50" s="38">
        <f t="shared" si="14"/>
        <v>21281.714122094905</v>
      </c>
      <c r="M50" s="38">
        <f t="shared" si="0"/>
        <v>-26551.875</v>
      </c>
      <c r="N50" s="5">
        <f t="shared" si="1"/>
        <v>0.6230603197104787</v>
      </c>
      <c r="O50" s="5">
        <f t="shared" si="2"/>
        <v>0</v>
      </c>
      <c r="P50" s="5">
        <f t="shared" si="3"/>
        <v>2.5351841947945553</v>
      </c>
      <c r="Q50" s="5">
        <f t="shared" si="15"/>
        <v>3.8566598437500001</v>
      </c>
      <c r="R50" s="5">
        <f t="shared" si="4"/>
        <v>7.0149043582550341</v>
      </c>
      <c r="S50" s="5">
        <f t="shared" si="5"/>
        <v>0.14038919711525522</v>
      </c>
      <c r="T50" s="5">
        <f t="shared" si="16"/>
        <v>0.9</v>
      </c>
      <c r="U50" s="5">
        <f t="shared" si="17"/>
        <v>6.3134139224295307</v>
      </c>
      <c r="V50" s="5">
        <f t="shared" si="6"/>
        <v>0.1263502774037297</v>
      </c>
      <c r="W50" s="64"/>
      <c r="X50" s="5"/>
      <c r="Y50" s="5"/>
    </row>
    <row r="51" spans="2:25" x14ac:dyDescent="0.3">
      <c r="B51" s="5">
        <f t="shared" si="18"/>
        <v>8</v>
      </c>
      <c r="C51" s="37">
        <f t="shared" si="7"/>
        <v>-9.0468750000000022E-4</v>
      </c>
      <c r="D51" s="37">
        <f t="shared" si="7"/>
        <v>3.5625000000000001E-3</v>
      </c>
      <c r="E51" s="37">
        <f t="shared" si="7"/>
        <v>8.0296874999999986E-3</v>
      </c>
      <c r="F51" s="38">
        <f t="shared" si="8"/>
        <v>-1809.3750000000005</v>
      </c>
      <c r="G51" s="38">
        <f t="shared" si="9"/>
        <v>4200</v>
      </c>
      <c r="H51" s="38">
        <f t="shared" si="10"/>
        <v>4200</v>
      </c>
      <c r="I51" s="11">
        <f t="shared" si="11"/>
        <v>6.8</v>
      </c>
      <c r="J51" s="38">
        <f t="shared" si="12"/>
        <v>-8263.7655997313195</v>
      </c>
      <c r="K51" s="38">
        <f t="shared" si="13"/>
        <v>10640.857061047453</v>
      </c>
      <c r="L51" s="38">
        <f t="shared" si="14"/>
        <v>21281.714122094905</v>
      </c>
      <c r="M51" s="38">
        <f t="shared" si="0"/>
        <v>-30345</v>
      </c>
      <c r="N51" s="5">
        <f t="shared" si="1"/>
        <v>0.98442107706799364</v>
      </c>
      <c r="O51" s="5">
        <f t="shared" si="2"/>
        <v>0</v>
      </c>
      <c r="P51" s="5">
        <f t="shared" si="3"/>
        <v>2.5351841947945553</v>
      </c>
      <c r="Q51" s="5">
        <f t="shared" si="15"/>
        <v>4.278645</v>
      </c>
      <c r="R51" s="5">
        <f t="shared" si="4"/>
        <v>7.7982502718625488</v>
      </c>
      <c r="S51" s="5">
        <f t="shared" si="5"/>
        <v>-6.686194416588962</v>
      </c>
      <c r="T51" s="5">
        <f t="shared" si="16"/>
        <v>0.9</v>
      </c>
      <c r="U51" s="5">
        <f t="shared" si="17"/>
        <v>7.018425244676294</v>
      </c>
      <c r="V51" s="5">
        <f t="shared" si="6"/>
        <v>-6.0175749749300662</v>
      </c>
      <c r="W51" s="64"/>
      <c r="X51" s="5"/>
      <c r="Y51" s="5"/>
    </row>
    <row r="52" spans="2:25" x14ac:dyDescent="0.3">
      <c r="B52" s="5">
        <f t="shared" si="18"/>
        <v>9</v>
      </c>
      <c r="C52" s="37">
        <f t="shared" si="7"/>
        <v>-1.1375000000000003E-3</v>
      </c>
      <c r="D52" s="37">
        <f t="shared" si="7"/>
        <v>2.8333333333333335E-3</v>
      </c>
      <c r="E52" s="37">
        <f t="shared" si="7"/>
        <v>6.8041666666666658E-3</v>
      </c>
      <c r="F52" s="38">
        <f t="shared" si="8"/>
        <v>-2275.0000000000005</v>
      </c>
      <c r="G52" s="38">
        <f t="shared" si="9"/>
        <v>4200</v>
      </c>
      <c r="H52" s="38">
        <f t="shared" si="10"/>
        <v>4200</v>
      </c>
      <c r="I52" s="11">
        <f t="shared" si="11"/>
        <v>7.6499999999999995</v>
      </c>
      <c r="J52" s="38">
        <f t="shared" si="12"/>
        <v>-10623.122299279044</v>
      </c>
      <c r="K52" s="38">
        <f t="shared" si="13"/>
        <v>10640.857061047453</v>
      </c>
      <c r="L52" s="38">
        <f t="shared" si="14"/>
        <v>21281.714122094905</v>
      </c>
      <c r="M52" s="38">
        <f t="shared" si="0"/>
        <v>-34138.125</v>
      </c>
      <c r="N52" s="5">
        <f t="shared" si="1"/>
        <v>1.2654794439016164</v>
      </c>
      <c r="O52" s="5">
        <f t="shared" si="2"/>
        <v>0</v>
      </c>
      <c r="P52" s="5">
        <f t="shared" si="3"/>
        <v>2.5351841947945553</v>
      </c>
      <c r="Q52" s="5">
        <f t="shared" si="15"/>
        <v>4.6683885937499996</v>
      </c>
      <c r="R52" s="5">
        <f t="shared" si="4"/>
        <v>8.4690522324461703</v>
      </c>
      <c r="S52" s="5">
        <f t="shared" si="5"/>
        <v>-12.838676116136689</v>
      </c>
      <c r="T52" s="5">
        <f t="shared" si="16"/>
        <v>0.9</v>
      </c>
      <c r="U52" s="5">
        <f t="shared" si="17"/>
        <v>7.6221470092015533</v>
      </c>
      <c r="V52" s="5">
        <f t="shared" si="6"/>
        <v>-11.55480850452302</v>
      </c>
      <c r="W52" s="64"/>
      <c r="X52" s="5"/>
      <c r="Y52" s="5"/>
    </row>
    <row r="53" spans="2:25" x14ac:dyDescent="0.3">
      <c r="B53" s="5">
        <f t="shared" si="18"/>
        <v>10</v>
      </c>
      <c r="C53" s="37">
        <f t="shared" si="7"/>
        <v>-1.3237500000000003E-3</v>
      </c>
      <c r="D53" s="37">
        <f t="shared" si="7"/>
        <v>2.2499999999999998E-3</v>
      </c>
      <c r="E53" s="37">
        <f t="shared" si="7"/>
        <v>5.8237499999999999E-3</v>
      </c>
      <c r="F53" s="38">
        <f t="shared" si="8"/>
        <v>-2647.5000000000005</v>
      </c>
      <c r="G53" s="38">
        <f t="shared" si="9"/>
        <v>4200</v>
      </c>
      <c r="H53" s="38">
        <f t="shared" si="10"/>
        <v>4200</v>
      </c>
      <c r="I53" s="11">
        <f t="shared" si="11"/>
        <v>8.5</v>
      </c>
      <c r="J53" s="38">
        <f t="shared" si="12"/>
        <v>-12510.607658917223</v>
      </c>
      <c r="K53" s="38">
        <f t="shared" si="13"/>
        <v>10640.857061047453</v>
      </c>
      <c r="L53" s="38">
        <f t="shared" si="14"/>
        <v>21281.714122094905</v>
      </c>
      <c r="M53" s="38">
        <f t="shared" si="0"/>
        <v>-37931.25</v>
      </c>
      <c r="N53" s="5">
        <f t="shared" si="1"/>
        <v>1.4903261373685144</v>
      </c>
      <c r="O53" s="5">
        <f t="shared" si="2"/>
        <v>0</v>
      </c>
      <c r="P53" s="5">
        <f t="shared" si="3"/>
        <v>2.5351841947945553</v>
      </c>
      <c r="Q53" s="5">
        <f t="shared" si="15"/>
        <v>5.0258906249999997</v>
      </c>
      <c r="R53" s="5">
        <f t="shared" si="4"/>
        <v>9.051400957163068</v>
      </c>
      <c r="S53" s="5">
        <f t="shared" si="5"/>
        <v>-18.519286475774866</v>
      </c>
      <c r="T53" s="5">
        <f t="shared" si="16"/>
        <v>0.9</v>
      </c>
      <c r="U53" s="5">
        <f t="shared" si="17"/>
        <v>8.1462608614467609</v>
      </c>
      <c r="V53" s="5">
        <f t="shared" si="6"/>
        <v>-16.667357828197378</v>
      </c>
      <c r="W53" s="64"/>
      <c r="X53" s="5"/>
      <c r="Y53" s="5"/>
    </row>
    <row r="54" spans="2:25" x14ac:dyDescent="0.3">
      <c r="B54" s="5">
        <f t="shared" si="18"/>
        <v>11</v>
      </c>
      <c r="C54" s="37">
        <f t="shared" si="7"/>
        <v>-1.4761363636363637E-3</v>
      </c>
      <c r="D54" s="37">
        <f t="shared" si="7"/>
        <v>1.7727272727272728E-3</v>
      </c>
      <c r="E54" s="37">
        <f t="shared" si="7"/>
        <v>5.0215909090909087E-3</v>
      </c>
      <c r="F54" s="38">
        <f t="shared" si="8"/>
        <v>-2952.2727272727275</v>
      </c>
      <c r="G54" s="38">
        <f t="shared" si="9"/>
        <v>3545.4545454545455</v>
      </c>
      <c r="H54" s="38">
        <f t="shared" si="10"/>
        <v>4200</v>
      </c>
      <c r="I54" s="11">
        <f t="shared" si="11"/>
        <v>9.35</v>
      </c>
      <c r="J54" s="38">
        <f t="shared" si="12"/>
        <v>-14054.91386225755</v>
      </c>
      <c r="K54" s="38">
        <f t="shared" si="13"/>
        <v>8982.5416749101878</v>
      </c>
      <c r="L54" s="38">
        <f t="shared" si="14"/>
        <v>21281.714122094905</v>
      </c>
      <c r="M54" s="38">
        <f t="shared" si="0"/>
        <v>-41724.375</v>
      </c>
      <c r="N54" s="5">
        <f t="shared" si="1"/>
        <v>1.6742916138414308</v>
      </c>
      <c r="O54" s="5">
        <f t="shared" si="2"/>
        <v>0</v>
      </c>
      <c r="P54" s="5">
        <f t="shared" si="3"/>
        <v>2.5351841947945553</v>
      </c>
      <c r="Q54" s="5">
        <f t="shared" si="15"/>
        <v>5.3511510937500004</v>
      </c>
      <c r="R54" s="5">
        <f t="shared" si="4"/>
        <v>9.5606269023859873</v>
      </c>
      <c r="S54" s="5">
        <f t="shared" si="5"/>
        <v>-25.515033065252457</v>
      </c>
      <c r="T54" s="5">
        <f t="shared" si="16"/>
        <v>0.9</v>
      </c>
      <c r="U54" s="5">
        <f t="shared" si="17"/>
        <v>8.6045642121473893</v>
      </c>
      <c r="V54" s="5">
        <f t="shared" si="6"/>
        <v>-22.963529758727212</v>
      </c>
      <c r="W54" s="64"/>
      <c r="X54" s="5"/>
      <c r="Y54" s="5"/>
    </row>
    <row r="55" spans="2:25" x14ac:dyDescent="0.3">
      <c r="B55" s="5">
        <f t="shared" si="18"/>
        <v>12</v>
      </c>
      <c r="C55" s="37">
        <f t="shared" si="7"/>
        <v>-1.6031250000000002E-3</v>
      </c>
      <c r="D55" s="37">
        <f t="shared" si="7"/>
        <v>1.3750000000000001E-3</v>
      </c>
      <c r="E55" s="37">
        <f t="shared" si="7"/>
        <v>4.3531249999999994E-3</v>
      </c>
      <c r="F55" s="38">
        <f t="shared" si="8"/>
        <v>-3206.2500000000005</v>
      </c>
      <c r="G55" s="38">
        <f t="shared" si="9"/>
        <v>2750.0000000000005</v>
      </c>
      <c r="H55" s="38">
        <f t="shared" si="10"/>
        <v>4200</v>
      </c>
      <c r="I55" s="11">
        <f t="shared" si="11"/>
        <v>10.199999999999999</v>
      </c>
      <c r="J55" s="38">
        <f t="shared" si="12"/>
        <v>-15341.835698374492</v>
      </c>
      <c r="K55" s="38">
        <f t="shared" si="13"/>
        <v>6967.2278375905953</v>
      </c>
      <c r="L55" s="38">
        <f t="shared" si="14"/>
        <v>21281.714122094905</v>
      </c>
      <c r="M55" s="38">
        <f t="shared" si="0"/>
        <v>-45517.499999999993</v>
      </c>
      <c r="N55" s="5">
        <f t="shared" si="1"/>
        <v>1.8275961775688618</v>
      </c>
      <c r="O55" s="5">
        <f t="shared" si="2"/>
        <v>0</v>
      </c>
      <c r="P55" s="5">
        <f t="shared" si="3"/>
        <v>2.5351841947945553</v>
      </c>
      <c r="Q55" s="5">
        <f t="shared" si="15"/>
        <v>5.644169999999999</v>
      </c>
      <c r="R55" s="5">
        <f t="shared" si="4"/>
        <v>10.006950372363416</v>
      </c>
      <c r="S55" s="5">
        <f t="shared" si="5"/>
        <v>-32.610393738688984</v>
      </c>
      <c r="T55" s="5">
        <f t="shared" si="16"/>
        <v>0.84423491379310345</v>
      </c>
      <c r="U55" s="5">
        <f t="shared" si="17"/>
        <v>8.4482168849440935</v>
      </c>
      <c r="V55" s="5">
        <f t="shared" si="6"/>
        <v>-27.530832946741256</v>
      </c>
      <c r="W55" s="64"/>
      <c r="X55" s="5"/>
      <c r="Y55" s="5"/>
    </row>
    <row r="56" spans="2:25" x14ac:dyDescent="0.3">
      <c r="B56" s="5">
        <f t="shared" si="18"/>
        <v>13</v>
      </c>
      <c r="C56" s="37">
        <f t="shared" si="7"/>
        <v>-1.7105769230769234E-3</v>
      </c>
      <c r="D56" s="37">
        <f t="shared" si="7"/>
        <v>1.0384615384615384E-3</v>
      </c>
      <c r="E56" s="37">
        <f t="shared" si="7"/>
        <v>3.7874999999999996E-3</v>
      </c>
      <c r="F56" s="38">
        <f t="shared" si="8"/>
        <v>-3421.1538461538466</v>
      </c>
      <c r="G56" s="38">
        <f t="shared" si="9"/>
        <v>2076.9230769230767</v>
      </c>
      <c r="H56" s="38">
        <f t="shared" si="10"/>
        <v>4200</v>
      </c>
      <c r="I56" s="11">
        <f t="shared" si="11"/>
        <v>11.049999999999999</v>
      </c>
      <c r="J56" s="38">
        <f t="shared" si="12"/>
        <v>-16430.769559704207</v>
      </c>
      <c r="K56" s="38">
        <f t="shared" si="13"/>
        <v>5261.962282935553</v>
      </c>
      <c r="L56" s="38">
        <f t="shared" si="14"/>
        <v>21281.714122094905</v>
      </c>
      <c r="M56" s="38">
        <f t="shared" si="0"/>
        <v>-49310.624999999993</v>
      </c>
      <c r="N56" s="5">
        <f t="shared" si="1"/>
        <v>1.9573154237997639</v>
      </c>
      <c r="O56" s="5">
        <f t="shared" si="2"/>
        <v>0</v>
      </c>
      <c r="P56" s="5">
        <f t="shared" si="3"/>
        <v>2.5351841947945553</v>
      </c>
      <c r="Q56" s="5">
        <f t="shared" si="15"/>
        <v>5.90494734375</v>
      </c>
      <c r="R56" s="5">
        <f t="shared" si="4"/>
        <v>10.397446962344318</v>
      </c>
      <c r="S56" s="5">
        <f t="shared" si="5"/>
        <v>-39.197718154673744</v>
      </c>
      <c r="T56" s="5">
        <f t="shared" si="16"/>
        <v>0.7954741379310345</v>
      </c>
      <c r="U56" s="5">
        <f t="shared" si="17"/>
        <v>8.2709001590545004</v>
      </c>
      <c r="V56" s="5">
        <f t="shared" si="6"/>
        <v>-31.180771057952757</v>
      </c>
      <c r="W56" s="64"/>
      <c r="X56" s="5"/>
      <c r="Y56" s="5"/>
    </row>
    <row r="57" spans="2:25" x14ac:dyDescent="0.3">
      <c r="B57" s="5">
        <f t="shared" si="18"/>
        <v>14</v>
      </c>
      <c r="C57" s="37">
        <f t="shared" si="7"/>
        <v>-1.8026785714285718E-3</v>
      </c>
      <c r="D57" s="37">
        <f t="shared" si="7"/>
        <v>7.5000000000000002E-4</v>
      </c>
      <c r="E57" s="37">
        <f t="shared" si="7"/>
        <v>3.302678571428571E-3</v>
      </c>
      <c r="F57" s="38">
        <f t="shared" si="8"/>
        <v>-3605.3571428571436</v>
      </c>
      <c r="G57" s="38">
        <f t="shared" si="9"/>
        <v>1500</v>
      </c>
      <c r="H57" s="38">
        <f t="shared" si="10"/>
        <v>4200</v>
      </c>
      <c r="I57" s="11">
        <f t="shared" si="11"/>
        <v>11.9</v>
      </c>
      <c r="J57" s="38">
        <f t="shared" si="12"/>
        <v>-17364.14144084397</v>
      </c>
      <c r="K57" s="38">
        <f t="shared" si="13"/>
        <v>3800.3060932312333</v>
      </c>
      <c r="L57" s="38">
        <f t="shared" si="14"/>
        <v>21281.714122094905</v>
      </c>
      <c r="M57" s="38">
        <f t="shared" si="0"/>
        <v>-53103.75</v>
      </c>
      <c r="N57" s="5">
        <f t="shared" si="1"/>
        <v>2.068503349140538</v>
      </c>
      <c r="O57" s="5">
        <f t="shared" si="2"/>
        <v>0</v>
      </c>
      <c r="P57" s="5">
        <f t="shared" si="3"/>
        <v>2.5351841947945553</v>
      </c>
      <c r="Q57" s="5">
        <f t="shared" si="15"/>
        <v>6.1334831249999997</v>
      </c>
      <c r="R57" s="5">
        <f t="shared" si="4"/>
        <v>10.737170668935093</v>
      </c>
      <c r="S57" s="5">
        <f t="shared" si="5"/>
        <v>-45.385871225517832</v>
      </c>
      <c r="T57" s="5">
        <f t="shared" si="16"/>
        <v>0.75367918719211824</v>
      </c>
      <c r="U57" s="5">
        <f t="shared" si="17"/>
        <v>8.0923820625060525</v>
      </c>
      <c r="V57" s="5">
        <f t="shared" si="6"/>
        <v>-34.206386535254424</v>
      </c>
      <c r="W57" s="64"/>
      <c r="X57" s="5"/>
      <c r="Y57" s="5"/>
    </row>
    <row r="58" spans="2:25" x14ac:dyDescent="0.3">
      <c r="B58" s="5">
        <f t="shared" si="18"/>
        <v>15</v>
      </c>
      <c r="C58" s="37">
        <f t="shared" si="7"/>
        <v>-1.8825000000000003E-3</v>
      </c>
      <c r="D58" s="37">
        <f t="shared" si="7"/>
        <v>5.0000000000000001E-4</v>
      </c>
      <c r="E58" s="37">
        <f t="shared" si="7"/>
        <v>2.8824999999999992E-3</v>
      </c>
      <c r="F58" s="38">
        <f t="shared" si="8"/>
        <v>-3765.0000000000005</v>
      </c>
      <c r="G58" s="38">
        <f t="shared" si="9"/>
        <v>1000</v>
      </c>
      <c r="H58" s="38">
        <f t="shared" si="10"/>
        <v>4200</v>
      </c>
      <c r="I58" s="11">
        <f t="shared" si="11"/>
        <v>12.75</v>
      </c>
      <c r="J58" s="38">
        <f t="shared" si="12"/>
        <v>-18173.063737831759</v>
      </c>
      <c r="K58" s="38">
        <f t="shared" si="13"/>
        <v>2533.537395487489</v>
      </c>
      <c r="L58" s="38">
        <f t="shared" si="14"/>
        <v>21281.714122094905</v>
      </c>
      <c r="M58" s="38">
        <f t="shared" si="0"/>
        <v>-56896.875</v>
      </c>
      <c r="N58" s="5">
        <f t="shared" si="1"/>
        <v>2.1648662177692084</v>
      </c>
      <c r="O58" s="5">
        <f t="shared" si="2"/>
        <v>0</v>
      </c>
      <c r="P58" s="5">
        <f t="shared" si="3"/>
        <v>2.5351841947945553</v>
      </c>
      <c r="Q58" s="5">
        <f t="shared" si="15"/>
        <v>6.32977734375</v>
      </c>
      <c r="R58" s="5">
        <f t="shared" si="4"/>
        <v>11.029827756313765</v>
      </c>
      <c r="S58" s="5">
        <f t="shared" si="5"/>
        <v>-51.254687220249366</v>
      </c>
      <c r="T58" s="5">
        <f t="shared" si="16"/>
        <v>0.71745689655172407</v>
      </c>
      <c r="U58" s="5">
        <f t="shared" si="17"/>
        <v>7.9134259915449396</v>
      </c>
      <c r="V58" s="5">
        <f t="shared" si="6"/>
        <v>-36.773028826769426</v>
      </c>
      <c r="W58" s="64"/>
      <c r="X58" s="5"/>
      <c r="Y58" s="5"/>
    </row>
    <row r="59" spans="2:25" x14ac:dyDescent="0.3">
      <c r="B59" s="5">
        <f t="shared" si="18"/>
        <v>16</v>
      </c>
      <c r="C59" s="37">
        <f t="shared" si="7"/>
        <v>-1.9523437500000003E-3</v>
      </c>
      <c r="D59" s="37">
        <f t="shared" si="7"/>
        <v>2.8125000000000003E-4</v>
      </c>
      <c r="E59" s="37">
        <f t="shared" si="7"/>
        <v>2.5148437499999997E-3</v>
      </c>
      <c r="F59" s="38">
        <f t="shared" si="8"/>
        <v>-3904.6875000000005</v>
      </c>
      <c r="G59" s="38">
        <f t="shared" si="9"/>
        <v>562.50000000000011</v>
      </c>
      <c r="H59" s="38">
        <f t="shared" si="10"/>
        <v>4200</v>
      </c>
      <c r="I59" s="11">
        <f t="shared" si="11"/>
        <v>13.6</v>
      </c>
      <c r="J59" s="38">
        <f t="shared" si="12"/>
        <v>-18880.870747696077</v>
      </c>
      <c r="K59" s="38">
        <f t="shared" si="13"/>
        <v>1425.1147849617128</v>
      </c>
      <c r="L59" s="38">
        <f t="shared" si="14"/>
        <v>21281.714122094905</v>
      </c>
      <c r="M59" s="38">
        <f t="shared" si="0"/>
        <v>-60690</v>
      </c>
      <c r="N59" s="5">
        <f t="shared" si="1"/>
        <v>2.2491837278192954</v>
      </c>
      <c r="O59" s="5">
        <f t="shared" si="2"/>
        <v>0</v>
      </c>
      <c r="P59" s="5">
        <f t="shared" si="3"/>
        <v>2.5351841947945553</v>
      </c>
      <c r="Q59" s="5">
        <f t="shared" si="15"/>
        <v>6.49383</v>
      </c>
      <c r="R59" s="5">
        <f t="shared" si="4"/>
        <v>11.278197922613851</v>
      </c>
      <c r="S59" s="5">
        <f t="shared" si="5"/>
        <v>-56.864041840639459</v>
      </c>
      <c r="T59" s="5">
        <f t="shared" si="16"/>
        <v>0.68576239224137936</v>
      </c>
      <c r="U59" s="5">
        <f t="shared" si="17"/>
        <v>7.7341639875834289</v>
      </c>
      <c r="V59" s="5">
        <f t="shared" si="6"/>
        <v>-38.995221365150805</v>
      </c>
      <c r="W59" s="64"/>
      <c r="X59" s="5"/>
      <c r="Y59" s="5"/>
    </row>
    <row r="60" spans="2:25" x14ac:dyDescent="0.3">
      <c r="B60" s="5">
        <f t="shared" si="18"/>
        <v>17</v>
      </c>
      <c r="C60" s="37">
        <f t="shared" si="7"/>
        <v>-2.0139705882352942E-3</v>
      </c>
      <c r="D60" s="37">
        <f t="shared" si="7"/>
        <v>8.8235294117647065E-5</v>
      </c>
      <c r="E60" s="37">
        <f t="shared" si="7"/>
        <v>2.1904411764705877E-3</v>
      </c>
      <c r="F60" s="38">
        <f t="shared" si="8"/>
        <v>-4027.9411764705883</v>
      </c>
      <c r="G60" s="38">
        <f t="shared" si="9"/>
        <v>176.47058823529412</v>
      </c>
      <c r="H60" s="38">
        <f t="shared" si="10"/>
        <v>4200</v>
      </c>
      <c r="I60" s="11">
        <f t="shared" si="11"/>
        <v>14.45</v>
      </c>
      <c r="J60" s="38">
        <f t="shared" si="12"/>
        <v>-19505.406344635176</v>
      </c>
      <c r="K60" s="38">
        <f t="shared" si="13"/>
        <v>447.09483449779214</v>
      </c>
      <c r="L60" s="38">
        <f t="shared" si="14"/>
        <v>21281.714122094905</v>
      </c>
      <c r="M60" s="38">
        <f t="shared" si="0"/>
        <v>-64483.124999999993</v>
      </c>
      <c r="N60" s="5">
        <f t="shared" si="1"/>
        <v>2.3235815308046655</v>
      </c>
      <c r="O60" s="5">
        <f t="shared" si="2"/>
        <v>0</v>
      </c>
      <c r="P60" s="5">
        <f t="shared" si="3"/>
        <v>2.5351841947945553</v>
      </c>
      <c r="Q60" s="5">
        <f t="shared" si="15"/>
        <v>6.6256410937499997</v>
      </c>
      <c r="R60" s="5">
        <f t="shared" si="4"/>
        <v>11.484406819349221</v>
      </c>
      <c r="S60" s="5">
        <f t="shared" si="5"/>
        <v>-62.259722388042469</v>
      </c>
      <c r="T60" s="5">
        <f t="shared" si="16"/>
        <v>0.65779665314401625</v>
      </c>
      <c r="U60" s="5">
        <f t="shared" si="17"/>
        <v>7.5544043691122349</v>
      </c>
      <c r="V60" s="5">
        <f t="shared" si="6"/>
        <v>-40.954237012529916</v>
      </c>
      <c r="W60" s="64"/>
      <c r="X60" s="5"/>
      <c r="Y60" s="5"/>
    </row>
    <row r="61" spans="2:25" x14ac:dyDescent="0.3">
      <c r="B61" s="5">
        <f t="shared" si="18"/>
        <v>18</v>
      </c>
      <c r="C61" s="37">
        <f t="shared" si="7"/>
        <v>-2.0687500000000003E-3</v>
      </c>
      <c r="D61" s="37">
        <f t="shared" si="7"/>
        <v>-8.3333333333333331E-5</v>
      </c>
      <c r="E61" s="37">
        <f t="shared" si="7"/>
        <v>1.9020833333333331E-3</v>
      </c>
      <c r="F61" s="38">
        <f t="shared" si="8"/>
        <v>-4137.5000000000009</v>
      </c>
      <c r="G61" s="38">
        <f t="shared" si="9"/>
        <v>-166.66666666666666</v>
      </c>
      <c r="H61" s="38">
        <f t="shared" si="10"/>
        <v>3804.1666666666661</v>
      </c>
      <c r="I61" s="11">
        <f t="shared" si="11"/>
        <v>15.299999999999999</v>
      </c>
      <c r="J61" s="38">
        <f t="shared" si="12"/>
        <v>-20060.549097469939</v>
      </c>
      <c r="K61" s="38">
        <f t="shared" si="13"/>
        <v>-422.25623258124813</v>
      </c>
      <c r="L61" s="38">
        <f t="shared" si="14"/>
        <v>19275.997017333975</v>
      </c>
      <c r="M61" s="38">
        <f t="shared" si="0"/>
        <v>-68276.25</v>
      </c>
      <c r="N61" s="5">
        <f t="shared" si="1"/>
        <v>2.3897129112361064</v>
      </c>
      <c r="O61" s="5">
        <f t="shared" si="2"/>
        <v>0</v>
      </c>
      <c r="P61" s="5">
        <f t="shared" si="3"/>
        <v>2.2962531446899095</v>
      </c>
      <c r="Q61" s="5">
        <f t="shared" si="15"/>
        <v>6.7252106250000008</v>
      </c>
      <c r="R61" s="5">
        <f t="shared" si="4"/>
        <v>11.411176680926017</v>
      </c>
      <c r="S61" s="5">
        <f t="shared" si="5"/>
        <v>-69.483058312717219</v>
      </c>
      <c r="T61" s="5">
        <f t="shared" si="16"/>
        <v>0.65</v>
      </c>
      <c r="U61" s="5">
        <f t="shared" si="17"/>
        <v>7.4172648426019112</v>
      </c>
      <c r="V61" s="5">
        <f t="shared" si="6"/>
        <v>-45.163987903266197</v>
      </c>
      <c r="W61" s="64"/>
      <c r="X61" s="5"/>
      <c r="Y61" s="5"/>
    </row>
    <row r="62" spans="2:25" x14ac:dyDescent="0.3">
      <c r="B62" s="5">
        <f t="shared" si="18"/>
        <v>19</v>
      </c>
      <c r="C62" s="37">
        <f t="shared" si="7"/>
        <v>-2.1177631578947372E-3</v>
      </c>
      <c r="D62" s="37">
        <f t="shared" si="7"/>
        <v>-2.3684210526315791E-4</v>
      </c>
      <c r="E62" s="37">
        <f t="shared" si="7"/>
        <v>1.6440789473684207E-3</v>
      </c>
      <c r="F62" s="38">
        <f t="shared" si="8"/>
        <v>-4200</v>
      </c>
      <c r="G62" s="38">
        <f t="shared" si="9"/>
        <v>-473.68421052631584</v>
      </c>
      <c r="H62" s="38">
        <f t="shared" si="10"/>
        <v>3288.1578947368412</v>
      </c>
      <c r="I62" s="11">
        <f t="shared" si="11"/>
        <v>16.149999999999999</v>
      </c>
      <c r="J62" s="38">
        <f t="shared" si="12"/>
        <v>-20377.24127190587</v>
      </c>
      <c r="K62" s="38">
        <f t="shared" si="13"/>
        <v>-1200.0966610203895</v>
      </c>
      <c r="L62" s="38">
        <f t="shared" si="14"/>
        <v>16661.341977166401</v>
      </c>
      <c r="M62" s="38">
        <f t="shared" si="0"/>
        <v>-72069.374999999985</v>
      </c>
      <c r="N62" s="5">
        <f t="shared" si="1"/>
        <v>2.4274388665157871</v>
      </c>
      <c r="O62" s="5">
        <f t="shared" si="2"/>
        <v>0</v>
      </c>
      <c r="P62" s="5">
        <f t="shared" si="3"/>
        <v>1.9847823630299473</v>
      </c>
      <c r="Q62" s="5">
        <f t="shared" si="15"/>
        <v>6.7925385937499989</v>
      </c>
      <c r="R62" s="5">
        <f t="shared" si="4"/>
        <v>11.204759823295733</v>
      </c>
      <c r="S62" s="5">
        <f t="shared" si="5"/>
        <v>-76.985370955759848</v>
      </c>
      <c r="T62" s="5">
        <f t="shared" si="16"/>
        <v>0.65</v>
      </c>
      <c r="U62" s="5">
        <f>R62*T62</f>
        <v>7.2830938851422271</v>
      </c>
      <c r="V62" s="5">
        <f t="shared" si="6"/>
        <v>-50.040491121243903</v>
      </c>
      <c r="W62" s="64"/>
      <c r="X62" s="5"/>
      <c r="Y62" s="5"/>
    </row>
    <row r="63" spans="2:25" x14ac:dyDescent="0.3">
      <c r="B63" s="5">
        <f t="shared" si="18"/>
        <v>20</v>
      </c>
      <c r="C63" s="37">
        <f t="shared" si="7"/>
        <v>-2.1618750000000002E-3</v>
      </c>
      <c r="D63" s="37">
        <f t="shared" si="7"/>
        <v>-3.7500000000000001E-4</v>
      </c>
      <c r="E63" s="37">
        <f t="shared" si="7"/>
        <v>1.4118749999999997E-3</v>
      </c>
      <c r="F63" s="38">
        <f t="shared" si="8"/>
        <v>-4200</v>
      </c>
      <c r="G63" s="38">
        <f t="shared" si="9"/>
        <v>-750</v>
      </c>
      <c r="H63" s="38">
        <f t="shared" si="10"/>
        <v>2823.7499999999995</v>
      </c>
      <c r="I63" s="11">
        <f t="shared" si="11"/>
        <v>17</v>
      </c>
      <c r="J63" s="38">
        <f t="shared" si="12"/>
        <v>-20377.24127190587</v>
      </c>
      <c r="K63" s="38">
        <f t="shared" si="13"/>
        <v>-1900.1530466156166</v>
      </c>
      <c r="L63" s="38">
        <f t="shared" si="14"/>
        <v>14308.152441015591</v>
      </c>
      <c r="M63" s="38">
        <f t="shared" si="0"/>
        <v>-75862.5</v>
      </c>
      <c r="N63" s="5">
        <f t="shared" si="1"/>
        <v>2.4274388665157871</v>
      </c>
      <c r="O63" s="5">
        <f t="shared" si="2"/>
        <v>0</v>
      </c>
      <c r="P63" s="5">
        <f t="shared" si="3"/>
        <v>1.7044586595359821</v>
      </c>
      <c r="Q63" s="5">
        <f t="shared" si="15"/>
        <v>6.8276250000000003</v>
      </c>
      <c r="R63" s="5">
        <f t="shared" si="4"/>
        <v>10.959522526051771</v>
      </c>
      <c r="S63" s="5">
        <f t="shared" si="5"/>
        <v>-83.831741877505905</v>
      </c>
      <c r="T63" s="5">
        <f t="shared" si="16"/>
        <v>0.65</v>
      </c>
      <c r="U63" s="5">
        <f t="shared" si="17"/>
        <v>7.1236896419336508</v>
      </c>
      <c r="V63" s="5">
        <f t="shared" si="6"/>
        <v>-54.490632220378842</v>
      </c>
      <c r="W63" s="64"/>
      <c r="X63" s="5"/>
      <c r="Y63" s="5"/>
    </row>
    <row r="64" spans="2:25" x14ac:dyDescent="0.3">
      <c r="B64" s="5">
        <f t="shared" si="18"/>
        <v>21</v>
      </c>
      <c r="C64" s="37">
        <f t="shared" si="7"/>
        <v>-2.2017857142857147E-3</v>
      </c>
      <c r="D64" s="37">
        <f t="shared" si="7"/>
        <v>-5.0000000000000001E-4</v>
      </c>
      <c r="E64" s="37">
        <f t="shared" si="7"/>
        <v>1.2017857142857138E-3</v>
      </c>
      <c r="F64" s="38">
        <f t="shared" si="8"/>
        <v>-4200</v>
      </c>
      <c r="G64" s="38">
        <f t="shared" si="9"/>
        <v>-1000</v>
      </c>
      <c r="H64" s="38">
        <f t="shared" si="10"/>
        <v>2403.5714285714275</v>
      </c>
      <c r="I64" s="11">
        <f t="shared" si="11"/>
        <v>17.849999999999998</v>
      </c>
      <c r="J64" s="38">
        <f t="shared" si="12"/>
        <v>-20377.24127190587</v>
      </c>
      <c r="K64" s="38">
        <f t="shared" si="13"/>
        <v>-2081.300970392972</v>
      </c>
      <c r="L64" s="38">
        <f t="shared" si="14"/>
        <v>12179.076194021995</v>
      </c>
      <c r="M64" s="38">
        <f t="shared" si="0"/>
        <v>-79655.624999999985</v>
      </c>
      <c r="N64" s="5">
        <f t="shared" si="1"/>
        <v>2.4274388665157871</v>
      </c>
      <c r="O64" s="5">
        <f t="shared" si="2"/>
        <v>0</v>
      </c>
      <c r="P64" s="5">
        <f t="shared" si="3"/>
        <v>1.4508324516128699</v>
      </c>
      <c r="Q64" s="5">
        <f t="shared" si="15"/>
        <v>6.8304698437500004</v>
      </c>
      <c r="R64" s="5">
        <f t="shared" si="4"/>
        <v>10.708741161878658</v>
      </c>
      <c r="S64" s="5">
        <f t="shared" si="5"/>
        <v>-89.935091048276831</v>
      </c>
      <c r="T64" s="5">
        <f t="shared" si="16"/>
        <v>0.65</v>
      </c>
      <c r="U64" s="5">
        <f t="shared" si="17"/>
        <v>6.9606817552211275</v>
      </c>
      <c r="V64" s="5">
        <f t="shared" si="6"/>
        <v>-58.457809181379943</v>
      </c>
      <c r="W64" s="64"/>
      <c r="X64" s="5"/>
      <c r="Y64" s="5"/>
    </row>
    <row r="65" spans="2:25" x14ac:dyDescent="0.3">
      <c r="B65" s="5">
        <f t="shared" si="18"/>
        <v>22</v>
      </c>
      <c r="C65" s="37">
        <f t="shared" si="7"/>
        <v>-2.2380681818181818E-3</v>
      </c>
      <c r="D65" s="37">
        <f t="shared" si="7"/>
        <v>-6.1363636363636362E-4</v>
      </c>
      <c r="E65" s="37">
        <f t="shared" si="7"/>
        <v>1.0107954545454543E-3</v>
      </c>
      <c r="F65" s="38">
        <f t="shared" si="8"/>
        <v>-4200</v>
      </c>
      <c r="G65" s="38">
        <f t="shared" si="9"/>
        <v>-1227.2727272727273</v>
      </c>
      <c r="H65" s="38">
        <f t="shared" si="10"/>
        <v>2021.5909090909086</v>
      </c>
      <c r="I65" s="11">
        <f t="shared" si="11"/>
        <v>18.7</v>
      </c>
      <c r="J65" s="38">
        <f t="shared" si="12"/>
        <v>-20377.24127190587</v>
      </c>
      <c r="K65" s="38">
        <f t="shared" si="13"/>
        <v>-2657.1049239128561</v>
      </c>
      <c r="L65" s="38">
        <f t="shared" si="14"/>
        <v>10243.552333118731</v>
      </c>
      <c r="M65" s="38">
        <f t="shared" si="0"/>
        <v>-83448.75</v>
      </c>
      <c r="N65" s="5">
        <f t="shared" si="1"/>
        <v>2.4274388665157871</v>
      </c>
      <c r="O65" s="5">
        <f t="shared" si="2"/>
        <v>0</v>
      </c>
      <c r="P65" s="5">
        <f t="shared" si="3"/>
        <v>1.2202631716827685</v>
      </c>
      <c r="Q65" s="5">
        <f t="shared" si="15"/>
        <v>6.8010731250000003</v>
      </c>
      <c r="R65" s="5">
        <f t="shared" si="4"/>
        <v>10.448775163198556</v>
      </c>
      <c r="S65" s="5">
        <f t="shared" si="5"/>
        <v>-96.239543862700003</v>
      </c>
      <c r="T65" s="5">
        <f t="shared" si="16"/>
        <v>0.65</v>
      </c>
      <c r="U65" s="5">
        <f t="shared" si="17"/>
        <v>6.7917038560790619</v>
      </c>
      <c r="V65" s="5">
        <f t="shared" si="6"/>
        <v>-62.555703510755002</v>
      </c>
      <c r="W65" s="64"/>
      <c r="X65" s="5"/>
      <c r="Y65" s="5"/>
    </row>
    <row r="66" spans="2:25" x14ac:dyDescent="0.3">
      <c r="B66" s="5">
        <f t="shared" si="18"/>
        <v>23</v>
      </c>
      <c r="C66" s="37">
        <f t="shared" si="7"/>
        <v>-2.2711956521739131E-3</v>
      </c>
      <c r="D66" s="37">
        <f t="shared" si="7"/>
        <v>-7.1739130434782608E-4</v>
      </c>
      <c r="E66" s="37">
        <f t="shared" si="7"/>
        <v>8.3641304347826064E-4</v>
      </c>
      <c r="F66" s="38">
        <f t="shared" si="8"/>
        <v>-4200</v>
      </c>
      <c r="G66" s="38">
        <f t="shared" si="9"/>
        <v>-1434.7826086956522</v>
      </c>
      <c r="H66" s="38">
        <f t="shared" si="10"/>
        <v>1672.8260869565213</v>
      </c>
      <c r="I66" s="11">
        <f t="shared" si="11"/>
        <v>19.55</v>
      </c>
      <c r="J66" s="38">
        <f t="shared" si="12"/>
        <v>-20377.24127190587</v>
      </c>
      <c r="K66" s="38">
        <f t="shared" si="13"/>
        <v>-3182.8389684310114</v>
      </c>
      <c r="L66" s="38">
        <f t="shared" si="14"/>
        <v>8476.3348949027059</v>
      </c>
      <c r="M66" s="38">
        <f t="shared" si="0"/>
        <v>-87241.875</v>
      </c>
      <c r="N66" s="5">
        <f t="shared" si="1"/>
        <v>2.4274388665157871</v>
      </c>
      <c r="O66" s="5">
        <f t="shared" si="2"/>
        <v>0</v>
      </c>
      <c r="P66" s="5">
        <f t="shared" si="3"/>
        <v>1.0097433943552847</v>
      </c>
      <c r="Q66" s="5">
        <f t="shared" si="15"/>
        <v>6.7394348437499998</v>
      </c>
      <c r="R66" s="5">
        <f t="shared" si="4"/>
        <v>10.176617104621071</v>
      </c>
      <c r="S66" s="5">
        <f t="shared" si="5"/>
        <v>-102.32562034543417</v>
      </c>
      <c r="T66" s="5">
        <f t="shared" si="16"/>
        <v>0.65</v>
      </c>
      <c r="U66" s="5">
        <f t="shared" si="17"/>
        <v>6.6148011180036965</v>
      </c>
      <c r="V66" s="5">
        <f t="shared" si="6"/>
        <v>-66.511653224532211</v>
      </c>
      <c r="W66" s="64"/>
      <c r="X66" s="5"/>
      <c r="Y66" s="5"/>
    </row>
    <row r="67" spans="2:25" x14ac:dyDescent="0.3">
      <c r="B67" s="5">
        <f t="shared" si="18"/>
        <v>24</v>
      </c>
      <c r="C67" s="37">
        <f t="shared" si="7"/>
        <v>-2.3015625000000002E-3</v>
      </c>
      <c r="D67" s="37">
        <f t="shared" si="7"/>
        <v>-8.1249999999999996E-4</v>
      </c>
      <c r="E67" s="37">
        <f t="shared" si="7"/>
        <v>6.7656249999999976E-4</v>
      </c>
      <c r="F67" s="38">
        <f t="shared" si="8"/>
        <v>-4200</v>
      </c>
      <c r="G67" s="38">
        <f t="shared" si="9"/>
        <v>-1625</v>
      </c>
      <c r="H67" s="38">
        <f t="shared" si="10"/>
        <v>1353.1249999999995</v>
      </c>
      <c r="I67" s="11">
        <f t="shared" si="11"/>
        <v>20.399999999999999</v>
      </c>
      <c r="J67" s="38">
        <f t="shared" si="12"/>
        <v>-20377.24127190587</v>
      </c>
      <c r="K67" s="38">
        <f t="shared" si="13"/>
        <v>-3664.7618425726532</v>
      </c>
      <c r="L67" s="38">
        <f t="shared" si="14"/>
        <v>6856.3855765380149</v>
      </c>
      <c r="M67" s="38">
        <f t="shared" si="0"/>
        <v>-91034.999999999985</v>
      </c>
      <c r="N67" s="5">
        <f t="shared" si="1"/>
        <v>2.4274388665157871</v>
      </c>
      <c r="O67" s="5">
        <f t="shared" si="2"/>
        <v>0</v>
      </c>
      <c r="P67" s="5">
        <f t="shared" si="3"/>
        <v>0.81676693180509086</v>
      </c>
      <c r="Q67" s="5">
        <f t="shared" si="15"/>
        <v>6.6455549999999999</v>
      </c>
      <c r="R67" s="5">
        <f t="shared" si="4"/>
        <v>9.8897607983208786</v>
      </c>
      <c r="S67" s="5">
        <f t="shared" si="5"/>
        <v>-108.2206175379405</v>
      </c>
      <c r="T67" s="5">
        <f t="shared" si="16"/>
        <v>0.65</v>
      </c>
      <c r="U67" s="5">
        <f t="shared" si="17"/>
        <v>6.4283445189085713</v>
      </c>
      <c r="V67" s="5">
        <f t="shared" si="6"/>
        <v>-70.343401399661332</v>
      </c>
      <c r="W67" s="64"/>
      <c r="X67" s="5"/>
      <c r="Y67" s="5"/>
    </row>
    <row r="68" spans="2:25" x14ac:dyDescent="0.3">
      <c r="B68" s="5">
        <f t="shared" si="18"/>
        <v>25</v>
      </c>
      <c r="C68" s="37">
        <f t="shared" si="7"/>
        <v>-2.3295E-3</v>
      </c>
      <c r="D68" s="37">
        <f t="shared" si="7"/>
        <v>-8.9999999999999998E-4</v>
      </c>
      <c r="E68" s="37">
        <f t="shared" si="7"/>
        <v>5.2949999999999981E-4</v>
      </c>
      <c r="F68" s="38">
        <f t="shared" si="8"/>
        <v>-4200</v>
      </c>
      <c r="G68" s="38">
        <f t="shared" si="9"/>
        <v>-1800</v>
      </c>
      <c r="H68" s="38">
        <f t="shared" si="10"/>
        <v>1058.9999999999995</v>
      </c>
      <c r="I68" s="11">
        <f t="shared" si="11"/>
        <v>21.25</v>
      </c>
      <c r="J68" s="38">
        <f t="shared" si="12"/>
        <v>-20377.24127190587</v>
      </c>
      <c r="K68" s="38">
        <f t="shared" si="13"/>
        <v>-4108.1308867829639</v>
      </c>
      <c r="L68" s="38">
        <f t="shared" si="14"/>
        <v>5366.0322036424996</v>
      </c>
      <c r="M68" s="38">
        <f t="shared" si="0"/>
        <v>-94828.125</v>
      </c>
      <c r="N68" s="5">
        <f t="shared" si="1"/>
        <v>2.4274388665157871</v>
      </c>
      <c r="O68" s="5">
        <f t="shared" si="2"/>
        <v>0</v>
      </c>
      <c r="P68" s="5">
        <f t="shared" si="3"/>
        <v>0.63922858625891266</v>
      </c>
      <c r="Q68" s="5">
        <f t="shared" si="15"/>
        <v>6.5194335937499996</v>
      </c>
      <c r="R68" s="5">
        <f t="shared" si="4"/>
        <v>9.5861010465246999</v>
      </c>
      <c r="S68" s="5">
        <f t="shared" si="5"/>
        <v>-113.94746495504634</v>
      </c>
      <c r="T68" s="5">
        <f t="shared" si="16"/>
        <v>0.65</v>
      </c>
      <c r="U68" s="5">
        <f t="shared" si="17"/>
        <v>6.2309656802410549</v>
      </c>
      <c r="V68" s="5">
        <f t="shared" si="6"/>
        <v>-74.06585222078013</v>
      </c>
      <c r="W68" s="64"/>
      <c r="X68" s="5"/>
      <c r="Y68" s="5"/>
    </row>
    <row r="69" spans="2:25" x14ac:dyDescent="0.3">
      <c r="B69" s="5">
        <f t="shared" si="18"/>
        <v>26</v>
      </c>
      <c r="C69" s="37">
        <f t="shared" si="7"/>
        <v>-2.3552884615384616E-3</v>
      </c>
      <c r="D69" s="37">
        <f t="shared" si="7"/>
        <v>-9.8076923076923081E-4</v>
      </c>
      <c r="E69" s="37">
        <f t="shared" si="7"/>
        <v>3.9374999999999973E-4</v>
      </c>
      <c r="F69" s="38">
        <f t="shared" si="8"/>
        <v>-4200</v>
      </c>
      <c r="G69" s="38">
        <f t="shared" si="9"/>
        <v>-1961.5384615384617</v>
      </c>
      <c r="H69" s="38">
        <f t="shared" si="10"/>
        <v>787.49999999999943</v>
      </c>
      <c r="I69" s="11">
        <f t="shared" si="11"/>
        <v>22.099999999999998</v>
      </c>
      <c r="J69" s="38">
        <f t="shared" si="12"/>
        <v>-20377.24127190587</v>
      </c>
      <c r="K69" s="38">
        <f t="shared" si="13"/>
        <v>-4517.3946199001739</v>
      </c>
      <c r="L69" s="38">
        <f t="shared" si="14"/>
        <v>3990.321397892792</v>
      </c>
      <c r="M69" s="38">
        <f t="shared" si="0"/>
        <v>-98621.249999999985</v>
      </c>
      <c r="N69" s="5">
        <f t="shared" si="1"/>
        <v>2.4274388665157871</v>
      </c>
      <c r="O69" s="5">
        <f t="shared" si="2"/>
        <v>0</v>
      </c>
      <c r="P69" s="5">
        <f t="shared" si="3"/>
        <v>0.47534703652397875</v>
      </c>
      <c r="Q69" s="5">
        <f t="shared" si="15"/>
        <v>6.361070625</v>
      </c>
      <c r="R69" s="5">
        <f t="shared" si="4"/>
        <v>9.2638565280397653</v>
      </c>
      <c r="S69" s="5">
        <f t="shared" si="5"/>
        <v>-119.52556449391324</v>
      </c>
      <c r="T69" s="5">
        <f t="shared" si="16"/>
        <v>0.65</v>
      </c>
      <c r="U69" s="5">
        <f t="shared" si="17"/>
        <v>6.0215067432258476</v>
      </c>
      <c r="V69" s="5">
        <f t="shared" si="6"/>
        <v>-77.691616921043604</v>
      </c>
      <c r="W69" s="64"/>
      <c r="X69" s="5"/>
      <c r="Y69" s="5"/>
    </row>
    <row r="70" spans="2:25" x14ac:dyDescent="0.3">
      <c r="B70" s="5">
        <f t="shared" si="18"/>
        <v>27</v>
      </c>
      <c r="C70" s="37">
        <f t="shared" si="7"/>
        <v>-2.3791666666666666E-3</v>
      </c>
      <c r="D70" s="37">
        <f t="shared" si="7"/>
        <v>-1.0555555555555557E-3</v>
      </c>
      <c r="E70" s="37">
        <f t="shared" si="7"/>
        <v>2.6805555555555534E-4</v>
      </c>
      <c r="F70" s="38">
        <f t="shared" si="8"/>
        <v>-4200</v>
      </c>
      <c r="G70" s="38">
        <f t="shared" si="9"/>
        <v>-2111.1111111111113</v>
      </c>
      <c r="H70" s="38">
        <f t="shared" si="10"/>
        <v>536.11111111111063</v>
      </c>
      <c r="I70" s="11">
        <f t="shared" si="11"/>
        <v>22.95</v>
      </c>
      <c r="J70" s="38">
        <f t="shared" si="12"/>
        <v>-20377.24127190587</v>
      </c>
      <c r="K70" s="38">
        <f t="shared" si="13"/>
        <v>-4896.3425209346269</v>
      </c>
      <c r="L70" s="38">
        <f t="shared" si="14"/>
        <v>2716.5150962726939</v>
      </c>
      <c r="M70" s="38">
        <f t="shared" si="0"/>
        <v>-102414.375</v>
      </c>
      <c r="N70" s="5">
        <f t="shared" si="1"/>
        <v>2.4274388665157871</v>
      </c>
      <c r="O70" s="5">
        <f t="shared" si="2"/>
        <v>0</v>
      </c>
      <c r="P70" s="5">
        <f t="shared" si="3"/>
        <v>0.32360486084348461</v>
      </c>
      <c r="Q70" s="5">
        <f t="shared" si="15"/>
        <v>6.17046609375</v>
      </c>
      <c r="R70" s="5">
        <f t="shared" si="4"/>
        <v>8.9215098211092716</v>
      </c>
      <c r="S70" s="5">
        <f t="shared" si="5"/>
        <v>-124.9714436965678</v>
      </c>
      <c r="T70" s="5">
        <f t="shared" si="16"/>
        <v>0.65</v>
      </c>
      <c r="U70" s="5">
        <f t="shared" si="17"/>
        <v>5.7989813837210269</v>
      </c>
      <c r="V70" s="5">
        <f t="shared" si="6"/>
        <v>-81.231438402769072</v>
      </c>
      <c r="W70" s="64"/>
      <c r="X70" s="5"/>
      <c r="Y70" s="5"/>
    </row>
    <row r="71" spans="2:25" x14ac:dyDescent="0.3">
      <c r="B71" s="5">
        <f t="shared" si="18"/>
        <v>28</v>
      </c>
      <c r="C71" s="37">
        <f t="shared" si="7"/>
        <v>-2.4013392857142857E-3</v>
      </c>
      <c r="D71" s="37">
        <f t="shared" si="7"/>
        <v>-1.1249999999999999E-3</v>
      </c>
      <c r="E71" s="37">
        <f t="shared" si="7"/>
        <v>1.5133928571428549E-4</v>
      </c>
      <c r="F71" s="38">
        <f t="shared" si="8"/>
        <v>-4200</v>
      </c>
      <c r="G71" s="38">
        <f t="shared" si="9"/>
        <v>-2250</v>
      </c>
      <c r="H71" s="38">
        <f t="shared" si="10"/>
        <v>302.67857142857099</v>
      </c>
      <c r="I71" s="11">
        <f t="shared" si="11"/>
        <v>23.8</v>
      </c>
      <c r="J71" s="38">
        <f t="shared" si="12"/>
        <v>-20377.24127190587</v>
      </c>
      <c r="K71" s="38">
        <f t="shared" si="13"/>
        <v>-5248.2227147523336</v>
      </c>
      <c r="L71" s="38">
        <f t="shared" si="14"/>
        <v>1533.6949590540312</v>
      </c>
      <c r="M71" s="38">
        <f t="shared" si="0"/>
        <v>-106207.5</v>
      </c>
      <c r="N71" s="5">
        <f t="shared" si="1"/>
        <v>2.4274388665157871</v>
      </c>
      <c r="O71" s="5">
        <f t="shared" si="2"/>
        <v>0</v>
      </c>
      <c r="P71" s="5">
        <f t="shared" si="3"/>
        <v>0.18270141199731144</v>
      </c>
      <c r="Q71" s="5">
        <f t="shared" si="15"/>
        <v>5.9476199999999997</v>
      </c>
      <c r="R71" s="5">
        <f t="shared" si="4"/>
        <v>8.5577602785130988</v>
      </c>
      <c r="S71" s="5">
        <f t="shared" si="5"/>
        <v>-130.29926902760417</v>
      </c>
      <c r="T71" s="5">
        <f t="shared" si="16"/>
        <v>0.65</v>
      </c>
      <c r="U71" s="5">
        <f t="shared" si="17"/>
        <v>5.5625441810335143</v>
      </c>
      <c r="V71" s="5">
        <f t="shared" si="6"/>
        <v>-84.694524867942718</v>
      </c>
      <c r="W71" s="64"/>
      <c r="X71" s="5"/>
      <c r="Y71" s="5"/>
    </row>
    <row r="72" spans="2:25" x14ac:dyDescent="0.3">
      <c r="B72" s="5">
        <f t="shared" si="18"/>
        <v>29</v>
      </c>
      <c r="C72" s="37">
        <f t="shared" si="7"/>
        <v>-2.4219827586206897E-3</v>
      </c>
      <c r="D72" s="37">
        <f t="shared" si="7"/>
        <v>-1.1896551724137933E-3</v>
      </c>
      <c r="E72" s="37">
        <f t="shared" si="7"/>
        <v>4.2672413793103231E-5</v>
      </c>
      <c r="F72" s="38">
        <f t="shared" si="8"/>
        <v>-4200</v>
      </c>
      <c r="G72" s="38">
        <f t="shared" si="9"/>
        <v>-2379.3103448275865</v>
      </c>
      <c r="H72" s="38">
        <f t="shared" si="10"/>
        <v>85.344827586206463</v>
      </c>
      <c r="I72" s="11">
        <f t="shared" si="11"/>
        <v>24.65</v>
      </c>
      <c r="J72" s="38">
        <f t="shared" si="12"/>
        <v>-20377.24127190587</v>
      </c>
      <c r="K72" s="38">
        <f t="shared" si="13"/>
        <v>-5575.8353089964057</v>
      </c>
      <c r="L72" s="38">
        <f t="shared" si="14"/>
        <v>432.44862440217264</v>
      </c>
      <c r="M72" s="38">
        <f t="shared" si="0"/>
        <v>-110000.62499999999</v>
      </c>
      <c r="N72" s="5">
        <f t="shared" si="1"/>
        <v>2.4274388665157871</v>
      </c>
      <c r="O72" s="5">
        <f t="shared" si="2"/>
        <v>0</v>
      </c>
      <c r="P72" s="5">
        <f t="shared" si="3"/>
        <v>5.1515442381908805E-2</v>
      </c>
      <c r="Q72" s="5">
        <f t="shared" si="15"/>
        <v>5.6925323437499999</v>
      </c>
      <c r="R72" s="5">
        <f t="shared" si="4"/>
        <v>8.1714866526476957</v>
      </c>
      <c r="S72" s="5">
        <f t="shared" si="5"/>
        <v>-135.52125295650009</v>
      </c>
      <c r="T72" s="5">
        <f t="shared" si="16"/>
        <v>0.65</v>
      </c>
      <c r="U72" s="5">
        <f t="shared" si="17"/>
        <v>5.3114663242210023</v>
      </c>
      <c r="V72" s="5">
        <f t="shared" si="6"/>
        <v>-88.088814421725061</v>
      </c>
      <c r="W72" s="64"/>
      <c r="X72" s="5"/>
      <c r="Y72" s="5"/>
    </row>
    <row r="73" spans="2:25" x14ac:dyDescent="0.3">
      <c r="B73" s="5">
        <f t="shared" si="18"/>
        <v>30</v>
      </c>
      <c r="C73" s="37">
        <f t="shared" si="7"/>
        <v>-2.4412500000000003E-3</v>
      </c>
      <c r="D73" s="37">
        <f t="shared" si="7"/>
        <v>-1.25E-3</v>
      </c>
      <c r="E73" s="37">
        <f t="shared" si="7"/>
        <v>-5.8750000000000215E-5</v>
      </c>
      <c r="F73" s="38">
        <f t="shared" si="8"/>
        <v>-4200</v>
      </c>
      <c r="G73" s="38">
        <f t="shared" si="9"/>
        <v>-2500</v>
      </c>
      <c r="H73" s="38">
        <f t="shared" si="10"/>
        <v>-117.50000000000043</v>
      </c>
      <c r="I73" s="11">
        <f t="shared" si="11"/>
        <v>25.5</v>
      </c>
      <c r="J73" s="38">
        <f t="shared" si="12"/>
        <v>-20377.24127190587</v>
      </c>
      <c r="K73" s="38">
        <f t="shared" si="13"/>
        <v>-5881.6070636242057</v>
      </c>
      <c r="L73" s="38">
        <f t="shared" si="14"/>
        <v>-595.38128793956207</v>
      </c>
      <c r="M73" s="38">
        <f t="shared" si="0"/>
        <v>-113793.75</v>
      </c>
      <c r="N73" s="5">
        <f t="shared" si="1"/>
        <v>2.4274388665157871</v>
      </c>
      <c r="O73" s="5">
        <f t="shared" si="2"/>
        <v>0</v>
      </c>
      <c r="P73" s="5">
        <f t="shared" si="3"/>
        <v>-7.0924795925800324E-2</v>
      </c>
      <c r="Q73" s="5">
        <f t="shared" si="15"/>
        <v>5.4052031249999999</v>
      </c>
      <c r="R73" s="5">
        <f t="shared" si="4"/>
        <v>7.7617171955899869</v>
      </c>
      <c r="S73" s="5">
        <f t="shared" si="5"/>
        <v>-140.64797962346964</v>
      </c>
      <c r="T73" s="5">
        <f t="shared" si="16"/>
        <v>0.65</v>
      </c>
      <c r="U73" s="5">
        <f t="shared" si="17"/>
        <v>5.045116177133492</v>
      </c>
      <c r="V73" s="5">
        <f t="shared" si="6"/>
        <v>-91.421186755255263</v>
      </c>
      <c r="W73" s="64"/>
      <c r="X73" s="5"/>
      <c r="Y73" s="5"/>
    </row>
    <row r="74" spans="2:25" x14ac:dyDescent="0.3">
      <c r="B74" s="5">
        <f t="shared" si="18"/>
        <v>31</v>
      </c>
      <c r="C74" s="37">
        <f>$C$12*(C$31-$B74)/$B74</f>
        <v>-2.459274193548387E-3</v>
      </c>
      <c r="D74" s="37">
        <f t="shared" si="7"/>
        <v>-1.3064516129032259E-3</v>
      </c>
      <c r="E74" s="37">
        <f t="shared" si="7"/>
        <v>-1.5362903225806472E-4</v>
      </c>
      <c r="F74" s="38">
        <f t="shared" si="8"/>
        <v>-4200</v>
      </c>
      <c r="G74" s="38">
        <f t="shared" si="9"/>
        <v>-2612.9032258064517</v>
      </c>
      <c r="H74" s="38">
        <f t="shared" si="10"/>
        <v>-307.25806451612942</v>
      </c>
      <c r="I74" s="11">
        <f t="shared" si="11"/>
        <v>26.349999999999998</v>
      </c>
      <c r="J74" s="38">
        <f t="shared" si="12"/>
        <v>-20377.24127190587</v>
      </c>
      <c r="K74" s="38">
        <f t="shared" si="13"/>
        <v>-6167.651608276019</v>
      </c>
      <c r="L74" s="38">
        <f t="shared" si="14"/>
        <v>-1556.8995930334427</v>
      </c>
      <c r="M74" s="38">
        <f t="shared" si="0"/>
        <v>-117586.87499999999</v>
      </c>
      <c r="N74" s="5">
        <f t="shared" si="1"/>
        <v>2.4274388665157871</v>
      </c>
      <c r="O74" s="5">
        <f t="shared" si="2"/>
        <v>0</v>
      </c>
      <c r="P74" s="5">
        <f t="shared" si="3"/>
        <v>-0.18546566402010881</v>
      </c>
      <c r="Q74" s="5">
        <f t="shared" si="15"/>
        <v>5.0856323437500004</v>
      </c>
      <c r="R74" s="5">
        <f t="shared" si="4"/>
        <v>7.3276055462456782</v>
      </c>
      <c r="S74" s="5">
        <f t="shared" si="5"/>
        <v>-145.68866747321533</v>
      </c>
      <c r="T74" s="5">
        <f t="shared" si="16"/>
        <v>0.65</v>
      </c>
      <c r="U74" s="5">
        <f t="shared" si="17"/>
        <v>4.7629436050596912</v>
      </c>
      <c r="V74" s="5">
        <f t="shared" si="6"/>
        <v>-94.697633857589963</v>
      </c>
      <c r="W74" s="64"/>
      <c r="X74" s="5"/>
      <c r="Y74" s="5"/>
    </row>
    <row r="75" spans="2:25" x14ac:dyDescent="0.3">
      <c r="B75" s="5">
        <f t="shared" si="18"/>
        <v>32</v>
      </c>
      <c r="C75" s="37">
        <f t="shared" si="7"/>
        <v>-2.4761718750000001E-3</v>
      </c>
      <c r="D75" s="37">
        <f t="shared" si="7"/>
        <v>-1.3593750000000001E-3</v>
      </c>
      <c r="E75" s="37">
        <f t="shared" si="7"/>
        <v>-2.425781250000002E-4</v>
      </c>
      <c r="F75" s="38">
        <f t="shared" si="8"/>
        <v>-4200</v>
      </c>
      <c r="G75" s="38">
        <f t="shared" si="9"/>
        <v>-2718.7500000000005</v>
      </c>
      <c r="H75" s="38">
        <f t="shared" si="10"/>
        <v>-485.1562500000004</v>
      </c>
      <c r="I75" s="11">
        <f t="shared" si="11"/>
        <v>27.2</v>
      </c>
      <c r="J75" s="38">
        <f t="shared" si="12"/>
        <v>-20377.24127190587</v>
      </c>
      <c r="K75" s="38">
        <f t="shared" si="13"/>
        <v>-6435.8183688870949</v>
      </c>
      <c r="L75" s="38">
        <f t="shared" si="14"/>
        <v>-2458.323004058956</v>
      </c>
      <c r="M75" s="38">
        <f t="shared" si="0"/>
        <v>-121380</v>
      </c>
      <c r="N75" s="5">
        <f t="shared" si="1"/>
        <v>2.4274388665157871</v>
      </c>
      <c r="O75" s="5">
        <f t="shared" si="2"/>
        <v>0</v>
      </c>
      <c r="P75" s="5">
        <f t="shared" si="3"/>
        <v>-0.29284772785852309</v>
      </c>
      <c r="Q75" s="5">
        <f t="shared" si="15"/>
        <v>4.7338200000000006</v>
      </c>
      <c r="R75" s="5">
        <f t="shared" si="4"/>
        <v>6.8684111386572644</v>
      </c>
      <c r="S75" s="5">
        <f t="shared" si="5"/>
        <v>-150.65138264485194</v>
      </c>
      <c r="T75" s="5">
        <f t="shared" si="16"/>
        <v>0.65</v>
      </c>
      <c r="U75" s="5">
        <f t="shared" si="17"/>
        <v>4.4644672401272221</v>
      </c>
      <c r="V75" s="5">
        <f t="shared" si="6"/>
        <v>-97.923398719153766</v>
      </c>
      <c r="W75" s="64"/>
      <c r="X75" s="5"/>
      <c r="Y75" s="5"/>
    </row>
    <row r="76" spans="2:25" x14ac:dyDescent="0.3">
      <c r="B76" s="5">
        <f t="shared" si="18"/>
        <v>33</v>
      </c>
      <c r="C76" s="37">
        <f t="shared" ref="C76:E78" si="19">$C$12*(C$31-$B76)/$B76</f>
        <v>-2.4920454545454547E-3</v>
      </c>
      <c r="D76" s="37">
        <f t="shared" si="19"/>
        <v>-1.4090909090909091E-3</v>
      </c>
      <c r="E76" s="37">
        <f t="shared" si="19"/>
        <v>-3.2613636363636384E-4</v>
      </c>
      <c r="F76" s="38">
        <f t="shared" si="8"/>
        <v>-4200</v>
      </c>
      <c r="G76" s="38">
        <f t="shared" si="9"/>
        <v>-2818.181818181818</v>
      </c>
      <c r="H76" s="38">
        <f t="shared" si="10"/>
        <v>-652.27272727272771</v>
      </c>
      <c r="I76" s="11">
        <f t="shared" si="11"/>
        <v>28.05</v>
      </c>
      <c r="J76" s="38">
        <f t="shared" si="12"/>
        <v>-20377.24127190587</v>
      </c>
      <c r="K76" s="38">
        <f t="shared" si="13"/>
        <v>-6687.7325985520429</v>
      </c>
      <c r="L76" s="38">
        <f t="shared" si="14"/>
        <v>-3305.1146932041356</v>
      </c>
      <c r="M76" s="38">
        <f t="shared" si="0"/>
        <v>-125173.125</v>
      </c>
      <c r="N76" s="5">
        <f t="shared" si="1"/>
        <v>2.4274388665157871</v>
      </c>
      <c r="O76" s="5">
        <f t="shared" si="2"/>
        <v>0</v>
      </c>
      <c r="P76" s="5">
        <f t="shared" si="3"/>
        <v>-0.39372178782794259</v>
      </c>
      <c r="Q76" s="5">
        <f t="shared" si="15"/>
        <v>4.3497660937499996</v>
      </c>
      <c r="R76" s="5">
        <f t="shared" si="4"/>
        <v>6.3834831724378436</v>
      </c>
      <c r="S76" s="5">
        <f t="shared" si="5"/>
        <v>-155.54321356366205</v>
      </c>
      <c r="T76" s="5">
        <f t="shared" si="16"/>
        <v>0.65</v>
      </c>
      <c r="U76" s="5">
        <f t="shared" si="17"/>
        <v>4.1492640620845984</v>
      </c>
      <c r="V76" s="5">
        <f t="shared" si="6"/>
        <v>-101.10308881638034</v>
      </c>
      <c r="W76" s="64"/>
      <c r="X76" s="5"/>
      <c r="Y76" s="5"/>
    </row>
    <row r="77" spans="2:25" x14ac:dyDescent="0.3">
      <c r="B77" s="5">
        <f t="shared" si="18"/>
        <v>34</v>
      </c>
      <c r="C77" s="37">
        <f t="shared" si="19"/>
        <v>-2.5069852941176471E-3</v>
      </c>
      <c r="D77" s="37">
        <f t="shared" si="19"/>
        <v>-1.4558823529411766E-3</v>
      </c>
      <c r="E77" s="37">
        <f t="shared" si="19"/>
        <v>-4.0477941176470612E-4</v>
      </c>
      <c r="F77" s="38">
        <f t="shared" si="8"/>
        <v>-4200</v>
      </c>
      <c r="G77" s="38">
        <f t="shared" si="9"/>
        <v>-2911.7647058823532</v>
      </c>
      <c r="H77" s="38">
        <f t="shared" si="10"/>
        <v>-809.55882352941228</v>
      </c>
      <c r="I77" s="11">
        <f t="shared" si="11"/>
        <v>28.9</v>
      </c>
      <c r="J77" s="38">
        <f t="shared" si="12"/>
        <v>-20377.24127190587</v>
      </c>
      <c r="K77" s="38">
        <f t="shared" si="13"/>
        <v>-6924.8283441190542</v>
      </c>
      <c r="L77" s="38">
        <f t="shared" si="14"/>
        <v>-4102.0951065172458</v>
      </c>
      <c r="M77" s="38">
        <f t="shared" si="0"/>
        <v>-128966.24999999999</v>
      </c>
      <c r="N77" s="5">
        <f t="shared" si="1"/>
        <v>2.4274388665157871</v>
      </c>
      <c r="O77" s="5">
        <f t="shared" si="2"/>
        <v>0</v>
      </c>
      <c r="P77" s="5">
        <f t="shared" si="3"/>
        <v>-0.48866207956386681</v>
      </c>
      <c r="Q77" s="5">
        <f t="shared" si="15"/>
        <v>3.9334706250000004</v>
      </c>
      <c r="R77" s="5">
        <f t="shared" si="4"/>
        <v>5.8722474119519212</v>
      </c>
      <c r="S77" s="5">
        <f t="shared" si="5"/>
        <v>-160.37041472254217</v>
      </c>
      <c r="T77" s="5">
        <f t="shared" si="16"/>
        <v>0.65</v>
      </c>
      <c r="U77" s="5">
        <f t="shared" si="17"/>
        <v>3.8169608177687491</v>
      </c>
      <c r="V77" s="5">
        <f t="shared" si="6"/>
        <v>-104.24076956965241</v>
      </c>
      <c r="W77" s="64"/>
      <c r="X77" s="5"/>
      <c r="Y77" s="5"/>
    </row>
    <row r="78" spans="2:25" x14ac:dyDescent="0.3">
      <c r="B78" s="5">
        <f t="shared" si="18"/>
        <v>35</v>
      </c>
      <c r="C78" s="37">
        <f t="shared" si="19"/>
        <v>-2.5210714285714289E-3</v>
      </c>
      <c r="D78" s="37">
        <f t="shared" si="19"/>
        <v>-1.5E-3</v>
      </c>
      <c r="E78" s="37">
        <f t="shared" si="19"/>
        <v>-4.7892857142857161E-4</v>
      </c>
      <c r="F78" s="38">
        <f t="shared" si="8"/>
        <v>-4200</v>
      </c>
      <c r="G78" s="38">
        <f t="shared" si="9"/>
        <v>-3000</v>
      </c>
      <c r="H78" s="38">
        <f t="shared" si="10"/>
        <v>-957.85714285714323</v>
      </c>
      <c r="I78" s="11">
        <f t="shared" si="11"/>
        <v>29.75</v>
      </c>
      <c r="J78" s="38">
        <f t="shared" si="12"/>
        <v>-20377.24127190587</v>
      </c>
      <c r="K78" s="38">
        <f t="shared" si="13"/>
        <v>-7148.37576136795</v>
      </c>
      <c r="L78" s="38">
        <f t="shared" si="14"/>
        <v>-3949.0609317377152</v>
      </c>
      <c r="M78" s="38">
        <f t="shared" si="0"/>
        <v>-132759.375</v>
      </c>
      <c r="N78" s="5">
        <f t="shared" si="1"/>
        <v>2.4274388665157871</v>
      </c>
      <c r="O78" s="5">
        <f t="shared" si="2"/>
        <v>0</v>
      </c>
      <c r="P78" s="5">
        <f t="shared" si="3"/>
        <v>-0.47043188349325521</v>
      </c>
      <c r="Q78" s="5">
        <f t="shared" si="15"/>
        <v>3.4849335937500001</v>
      </c>
      <c r="R78" s="5">
        <f t="shared" si="4"/>
        <v>5.4419405767725317</v>
      </c>
      <c r="S78" s="5">
        <f t="shared" si="5"/>
        <v>-164.23405296501153</v>
      </c>
      <c r="T78" s="5">
        <f t="shared" si="16"/>
        <v>0.65</v>
      </c>
      <c r="U78" s="5">
        <f t="shared" si="17"/>
        <v>3.5372613749021458</v>
      </c>
      <c r="V78" s="5">
        <f t="shared" si="6"/>
        <v>-106.7521344272575</v>
      </c>
      <c r="W78" s="64"/>
      <c r="X78" s="5"/>
      <c r="Y78" s="5"/>
    </row>
    <row r="79" spans="2:25" x14ac:dyDescent="0.3">
      <c r="B79" s="5"/>
      <c r="R79" s="11">
        <v>0</v>
      </c>
      <c r="S79" s="11">
        <f>-(0.85*$C$4*(C8*C9-SUM(C30:E30))+SUM(C30:E30)*C6)/1000</f>
        <v>-207.13060317976471</v>
      </c>
      <c r="T79" s="5">
        <v>0.65</v>
      </c>
      <c r="U79" s="5">
        <f>R79*T79</f>
        <v>0</v>
      </c>
      <c r="V79" s="5">
        <f>S79*T79</f>
        <v>-134.63489206684707</v>
      </c>
      <c r="W79" s="64"/>
    </row>
  </sheetData>
  <mergeCells count="5">
    <mergeCell ref="B1:T1"/>
    <mergeCell ref="AK1:AN1"/>
    <mergeCell ref="N5:S5"/>
    <mergeCell ref="AK4:AN4"/>
    <mergeCell ref="K17:M17"/>
  </mergeCells>
  <dataValidations count="1">
    <dataValidation type="list" allowBlank="1" showInputMessage="1" showErrorMessage="1" sqref="O8 L19 O12 R10 R8 R12 O10" xr:uid="{F295B01C-B7B3-41E8-9EC5-02870E16E1E8}">
      <formula1>$AK$7:$AK$16</formula1>
    </dataValidation>
  </dataValidations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8375DE-8B30-4CF0-AAE1-7981D4C493D9}">
  <dimension ref="B1:AM81"/>
  <sheetViews>
    <sheetView topLeftCell="M14" zoomScaleNormal="100" workbookViewId="0">
      <selection activeCell="AA25" sqref="AA25"/>
    </sheetView>
  </sheetViews>
  <sheetFormatPr defaultColWidth="9.6640625" defaultRowHeight="13.8" x14ac:dyDescent="0.3"/>
  <cols>
    <col min="1" max="1" width="3" style="11" customWidth="1"/>
    <col min="2" max="5" width="7.6640625" style="11" customWidth="1"/>
    <col min="6" max="8" width="9.6640625" style="11"/>
    <col min="9" max="19" width="7.6640625" style="11" customWidth="1"/>
    <col min="20" max="20" width="9.6640625" style="11"/>
    <col min="21" max="21" width="9.88671875" style="11" bestFit="1" customWidth="1"/>
    <col min="22" max="22" width="11" style="11" bestFit="1" customWidth="1"/>
    <col min="23" max="23" width="9.6640625" style="11"/>
    <col min="24" max="24" width="9.6640625" style="11" customWidth="1"/>
    <col min="25" max="16384" width="9.6640625" style="11"/>
  </cols>
  <sheetData>
    <row r="1" spans="2:39" ht="36.6" x14ac:dyDescent="0.3">
      <c r="B1" s="56" t="s">
        <v>72</v>
      </c>
      <c r="C1" s="56"/>
      <c r="D1" s="56"/>
      <c r="E1" s="56"/>
      <c r="F1" s="56"/>
      <c r="G1" s="56"/>
      <c r="H1" s="56"/>
      <c r="I1" s="5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  <c r="AJ1" s="57" t="s">
        <v>54</v>
      </c>
      <c r="AK1" s="57"/>
      <c r="AL1" s="57"/>
      <c r="AM1" s="57"/>
    </row>
    <row r="2" spans="2:39" x14ac:dyDescent="0.3">
      <c r="B2" s="43" t="s">
        <v>73</v>
      </c>
      <c r="E2" s="13"/>
      <c r="AJ2" s="14"/>
      <c r="AK2" s="14"/>
      <c r="AL2" s="14"/>
      <c r="AM2" s="14"/>
    </row>
    <row r="3" spans="2:39" x14ac:dyDescent="0.3">
      <c r="E3" s="13"/>
      <c r="N3" s="58" t="s">
        <v>74</v>
      </c>
      <c r="O3" s="59"/>
      <c r="P3" s="59"/>
      <c r="Q3" s="59"/>
      <c r="R3" s="59"/>
      <c r="S3" s="60"/>
      <c r="AJ3" s="14"/>
      <c r="AK3" s="14"/>
      <c r="AL3" s="14"/>
      <c r="AM3" s="14"/>
    </row>
    <row r="4" spans="2:39" x14ac:dyDescent="0.3">
      <c r="B4" s="15" t="s">
        <v>26</v>
      </c>
      <c r="C4" s="48">
        <v>210</v>
      </c>
      <c r="D4" s="13" t="s">
        <v>24</v>
      </c>
      <c r="E4" s="13" t="s">
        <v>86</v>
      </c>
      <c r="N4" s="14" t="s">
        <v>71</v>
      </c>
      <c r="O4" s="16" t="s">
        <v>21</v>
      </c>
      <c r="P4" s="14"/>
      <c r="Q4" s="14" t="s">
        <v>71</v>
      </c>
      <c r="R4" s="16" t="s">
        <v>21</v>
      </c>
      <c r="S4" s="14"/>
      <c r="AJ4" s="57" t="s">
        <v>55</v>
      </c>
      <c r="AK4" s="57"/>
      <c r="AL4" s="57"/>
      <c r="AM4" s="57"/>
    </row>
    <row r="5" spans="2:39" x14ac:dyDescent="0.3">
      <c r="B5" s="15" t="s">
        <v>27</v>
      </c>
      <c r="C5" s="48">
        <v>0.85</v>
      </c>
      <c r="D5" s="13"/>
      <c r="E5" s="13"/>
      <c r="N5" s="17"/>
      <c r="O5" s="17"/>
      <c r="P5" s="18"/>
      <c r="Q5" s="17"/>
      <c r="R5" s="17"/>
      <c r="S5" s="18"/>
      <c r="AJ5" s="14" t="s">
        <v>56</v>
      </c>
      <c r="AK5" s="14" t="s">
        <v>57</v>
      </c>
      <c r="AL5" s="14" t="s">
        <v>57</v>
      </c>
      <c r="AM5" s="14" t="s">
        <v>58</v>
      </c>
    </row>
    <row r="6" spans="2:39" x14ac:dyDescent="0.3">
      <c r="B6" s="15" t="s">
        <v>28</v>
      </c>
      <c r="C6" s="48">
        <v>4200</v>
      </c>
      <c r="D6" s="13" t="s">
        <v>24</v>
      </c>
      <c r="E6" s="13" t="s">
        <v>87</v>
      </c>
      <c r="N6" s="6">
        <v>2</v>
      </c>
      <c r="O6" s="6">
        <v>4</v>
      </c>
      <c r="P6" s="7" t="str">
        <f>LOOKUP(O6,$AJ$7:$AJ$16,$AK$7:$AK$16)</f>
        <v>1/2"</v>
      </c>
      <c r="Q6" s="49">
        <v>2</v>
      </c>
      <c r="R6" s="49">
        <v>4</v>
      </c>
      <c r="S6" s="50" t="str">
        <f>LOOKUP(R6,$AJ$7:$AJ$16,$AK$7:$AK$16)</f>
        <v>1/2"</v>
      </c>
      <c r="AJ6" s="14"/>
      <c r="AK6" s="14" t="s">
        <v>70</v>
      </c>
      <c r="AL6" s="14" t="s">
        <v>25</v>
      </c>
      <c r="AM6" s="14" t="s">
        <v>59</v>
      </c>
    </row>
    <row r="7" spans="2:39" x14ac:dyDescent="0.3">
      <c r="B7" s="15" t="s">
        <v>29</v>
      </c>
      <c r="C7" s="48">
        <v>2000000</v>
      </c>
      <c r="D7" s="13" t="s">
        <v>24</v>
      </c>
      <c r="E7" s="13" t="s">
        <v>85</v>
      </c>
      <c r="N7" s="8"/>
      <c r="O7" s="4">
        <f>IF(N6=0,0,LOOKUP(O6,$AJ$7:$AJ$16,$AL$7:$AL$16))</f>
        <v>1.27</v>
      </c>
      <c r="P7" s="3">
        <f>IF(N6=0,0,LOOKUP(O6,$AJ$7:$AJ$16,$AM$7:$AM$16))</f>
        <v>1.2667686977437445</v>
      </c>
      <c r="Q7" s="4"/>
      <c r="R7" s="4">
        <f>IF(Q6=0,0,LOOKUP(R6,$AJ$7:$AJ$16,$AL$7:$AL$16))</f>
        <v>1.27</v>
      </c>
      <c r="S7" s="3">
        <f>IF(Q6=0,0,LOOKUP(R6,$AJ$7:$AJ$16,$AM$7:$AM$16))</f>
        <v>1.2667686977437445</v>
      </c>
      <c r="AJ7" s="14">
        <v>2</v>
      </c>
      <c r="AK7" s="14" t="s">
        <v>60</v>
      </c>
      <c r="AL7" s="14">
        <v>0.8</v>
      </c>
      <c r="AM7" s="14">
        <v>0.50265482457436694</v>
      </c>
    </row>
    <row r="8" spans="2:39" x14ac:dyDescent="0.3">
      <c r="B8" s="15" t="s">
        <v>30</v>
      </c>
      <c r="C8" s="48">
        <v>25</v>
      </c>
      <c r="D8" s="13" t="s">
        <v>25</v>
      </c>
      <c r="E8" s="13" t="s">
        <v>37</v>
      </c>
      <c r="N8" s="6">
        <v>1</v>
      </c>
      <c r="O8" s="6">
        <v>4</v>
      </c>
      <c r="P8" s="7" t="str">
        <f>LOOKUP(O8,$AJ$7:$AJ$16,$AK$7:$AK$16)</f>
        <v>1/2"</v>
      </c>
      <c r="Q8" s="49">
        <v>1</v>
      </c>
      <c r="R8" s="49">
        <v>4</v>
      </c>
      <c r="S8" s="50" t="str">
        <f>LOOKUP(R8,$AJ$7:$AJ$16,$AK$7:$AK$16)</f>
        <v>1/2"</v>
      </c>
      <c r="W8" s="20" t="s">
        <v>92</v>
      </c>
      <c r="AJ8" s="14">
        <v>3</v>
      </c>
      <c r="AK8" s="14" t="s">
        <v>61</v>
      </c>
      <c r="AL8" s="14">
        <v>0.95250000000000001</v>
      </c>
      <c r="AM8" s="14">
        <v>0.71255739248085614</v>
      </c>
    </row>
    <row r="9" spans="2:39" x14ac:dyDescent="0.3">
      <c r="B9" s="15" t="s">
        <v>31</v>
      </c>
      <c r="C9" s="48">
        <v>35</v>
      </c>
      <c r="D9" s="13" t="s">
        <v>25</v>
      </c>
      <c r="E9" s="13" t="s">
        <v>36</v>
      </c>
      <c r="N9" s="8"/>
      <c r="O9" s="4">
        <f>IF(N8=0,0,LOOKUP(O8,$AJ$7:$AJ$16,$AL$7:$AL$16))</f>
        <v>1.27</v>
      </c>
      <c r="P9" s="3">
        <f>IF(N8=0,0,LOOKUP(O8,$AJ$7:$AJ$16,$AM$7:$AM$16))</f>
        <v>1.2667686977437445</v>
      </c>
      <c r="Q9" s="4"/>
      <c r="R9" s="4">
        <f>IF(Q8=0,0,LOOKUP(R8,$AJ$7:$AJ$16,$AL$7:$AL$16))</f>
        <v>1.27</v>
      </c>
      <c r="S9" s="3">
        <f>IF(Q8=0,0,LOOKUP(R8,$AJ$7:$AJ$16,$AM$7:$AM$16))</f>
        <v>1.2667686977437445</v>
      </c>
      <c r="W9" s="20" t="s">
        <v>91</v>
      </c>
      <c r="AJ9" s="14">
        <v>4</v>
      </c>
      <c r="AK9" s="14" t="s">
        <v>62</v>
      </c>
      <c r="AL9" s="14">
        <v>1.27</v>
      </c>
      <c r="AM9" s="14">
        <v>1.2667686977437445</v>
      </c>
    </row>
    <row r="10" spans="2:39" x14ac:dyDescent="0.3">
      <c r="B10" s="15" t="s">
        <v>32</v>
      </c>
      <c r="C10" s="48">
        <v>35</v>
      </c>
      <c r="D10" s="13"/>
      <c r="E10" s="13" t="s">
        <v>38</v>
      </c>
      <c r="N10" s="6">
        <v>1</v>
      </c>
      <c r="O10" s="6">
        <v>4</v>
      </c>
      <c r="P10" s="7" t="str">
        <f>LOOKUP(O10,$AJ$7:$AJ$16,$AK$7:$AK$16)</f>
        <v>1/2"</v>
      </c>
      <c r="Q10" s="49">
        <v>1</v>
      </c>
      <c r="R10" s="49">
        <v>4</v>
      </c>
      <c r="S10" s="50" t="str">
        <f>LOOKUP(R10,$AJ$7:$AJ$16,$AK$7:$AK$16)</f>
        <v>1/2"</v>
      </c>
      <c r="W10" s="20" t="s">
        <v>88</v>
      </c>
      <c r="AJ10" s="14">
        <v>5</v>
      </c>
      <c r="AK10" s="14" t="s">
        <v>63</v>
      </c>
      <c r="AL10" s="14">
        <v>1.5874999999999999</v>
      </c>
      <c r="AM10" s="14">
        <v>1.9793260902246004</v>
      </c>
    </row>
    <row r="11" spans="2:39" x14ac:dyDescent="0.3">
      <c r="B11" s="15" t="s">
        <v>39</v>
      </c>
      <c r="C11" s="47">
        <v>4</v>
      </c>
      <c r="D11" s="13" t="s">
        <v>25</v>
      </c>
      <c r="E11" s="13" t="s">
        <v>40</v>
      </c>
      <c r="N11" s="8"/>
      <c r="O11" s="4">
        <f>IF(N10=0,0,LOOKUP(O10,$AJ$7:$AJ$16,$AL$7:$AL$16))</f>
        <v>1.27</v>
      </c>
      <c r="P11" s="3">
        <f>IF(N10=0,0,LOOKUP(O10,$AJ$7:$AJ$16,$AM$7:$AM$16))</f>
        <v>1.2667686977437445</v>
      </c>
      <c r="Q11" s="4"/>
      <c r="R11" s="4">
        <f>IF(Q10=0,0,LOOKUP(R10,$AJ$7:$AJ$16,$AL$7:$AL$16))</f>
        <v>1.27</v>
      </c>
      <c r="S11" s="3">
        <f>IF(Q10=0,0,LOOKUP(R10,$AJ$7:$AJ$16,$AM$7:$AM$16))</f>
        <v>1.2667686977437445</v>
      </c>
      <c r="W11" s="20" t="s">
        <v>90</v>
      </c>
      <c r="AJ11" s="14">
        <v>6</v>
      </c>
      <c r="AK11" s="14" t="s">
        <v>64</v>
      </c>
      <c r="AL11" s="14">
        <v>1.905</v>
      </c>
      <c r="AM11" s="14">
        <v>2.8502295699234246</v>
      </c>
    </row>
    <row r="12" spans="2:39" x14ac:dyDescent="0.3">
      <c r="B12" s="15" t="s">
        <v>33</v>
      </c>
      <c r="C12" s="48">
        <v>3.0000000000000001E-3</v>
      </c>
      <c r="D12" s="13"/>
      <c r="E12" s="13" t="s">
        <v>101</v>
      </c>
      <c r="N12" s="9">
        <v>2</v>
      </c>
      <c r="O12" s="9">
        <v>4</v>
      </c>
      <c r="P12" s="10" t="str">
        <f>LOOKUP(O12,$AJ$7:$AJ$16,$AK$7:$AK$16)</f>
        <v>1/2"</v>
      </c>
      <c r="Q12" s="49">
        <v>2</v>
      </c>
      <c r="R12" s="49">
        <v>4</v>
      </c>
      <c r="S12" s="50" t="str">
        <f>LOOKUP(R12,$AJ$7:$AJ$16,$AK$7:$AK$16)</f>
        <v>1/2"</v>
      </c>
      <c r="W12" s="20" t="s">
        <v>93</v>
      </c>
      <c r="AJ12" s="14">
        <v>7</v>
      </c>
      <c r="AK12" s="14" t="s">
        <v>65</v>
      </c>
      <c r="AL12" s="14">
        <v>2.2225000000000001</v>
      </c>
      <c r="AM12" s="14">
        <v>3.8794791368402173</v>
      </c>
    </row>
    <row r="13" spans="2:39" x14ac:dyDescent="0.3">
      <c r="B13" s="15" t="s">
        <v>34</v>
      </c>
      <c r="C13" s="11">
        <f>C6/C7</f>
        <v>2.0999999999999999E-3</v>
      </c>
      <c r="D13" s="13"/>
      <c r="E13" s="13" t="s">
        <v>89</v>
      </c>
      <c r="O13" s="2">
        <f>IF(N12=0,0,LOOKUP(O12,$AJ$7:$AJ$16,$AL$7:$AL$16))</f>
        <v>1.27</v>
      </c>
      <c r="P13" s="2">
        <f>IF(N12=0,0,LOOKUP(O12,$AJ$7:$AJ$16,$AM$7:$AM$16))</f>
        <v>1.2667686977437445</v>
      </c>
      <c r="Q13" s="2"/>
      <c r="R13" s="2">
        <f>IF(Q12=0,0,LOOKUP(R12,$AJ$7:$AJ$16,$AL$7:$AL$16))</f>
        <v>1.27</v>
      </c>
      <c r="S13" s="2">
        <f>IF(Q12=0,0,LOOKUP(R12,$AJ$7:$AJ$16,$AM$7:$AM$16))</f>
        <v>1.2667686977437445</v>
      </c>
      <c r="W13" s="20" t="s">
        <v>94</v>
      </c>
      <c r="AJ13" s="14">
        <v>8</v>
      </c>
      <c r="AK13" s="14" t="s">
        <v>66</v>
      </c>
      <c r="AL13" s="14">
        <v>2.54</v>
      </c>
      <c r="AM13" s="14">
        <v>5.0670747909749778</v>
      </c>
    </row>
    <row r="14" spans="2:39" x14ac:dyDescent="0.3">
      <c r="E14" s="13"/>
      <c r="W14" s="20" t="s">
        <v>95</v>
      </c>
      <c r="AJ14" s="14">
        <v>9</v>
      </c>
      <c r="AK14" s="14" t="s">
        <v>67</v>
      </c>
      <c r="AL14" s="14">
        <v>2.8574999999999999</v>
      </c>
      <c r="AM14" s="14">
        <v>6.4130165323277053</v>
      </c>
    </row>
    <row r="15" spans="2:39" x14ac:dyDescent="0.3">
      <c r="B15" s="43" t="s">
        <v>76</v>
      </c>
      <c r="W15" s="20" t="s">
        <v>96</v>
      </c>
      <c r="AJ15" s="14">
        <v>10</v>
      </c>
      <c r="AK15" s="14" t="s">
        <v>68</v>
      </c>
      <c r="AL15" s="14">
        <v>3.1749999999999998</v>
      </c>
      <c r="AM15" s="14">
        <v>7.9173043608984015</v>
      </c>
    </row>
    <row r="16" spans="2:39" x14ac:dyDescent="0.3">
      <c r="W16" s="20" t="s">
        <v>97</v>
      </c>
      <c r="AJ16" s="14">
        <v>11</v>
      </c>
      <c r="AK16" s="14" t="s">
        <v>69</v>
      </c>
      <c r="AL16" s="14">
        <v>3.4925000000000002</v>
      </c>
      <c r="AM16" s="14">
        <v>9.5799382766870682</v>
      </c>
    </row>
    <row r="17" spans="2:23" x14ac:dyDescent="0.3">
      <c r="B17" s="15" t="s">
        <v>41</v>
      </c>
      <c r="C17" s="19">
        <f>N6*P7+Q6*S7</f>
        <v>5.0670747909749778</v>
      </c>
      <c r="D17" s="20" t="s">
        <v>59</v>
      </c>
      <c r="K17" s="58" t="s">
        <v>75</v>
      </c>
      <c r="L17" s="59"/>
      <c r="M17" s="60"/>
      <c r="W17" s="20" t="s">
        <v>98</v>
      </c>
    </row>
    <row r="18" spans="2:23" x14ac:dyDescent="0.3">
      <c r="B18" s="15" t="s">
        <v>42</v>
      </c>
      <c r="C18" s="19">
        <f>N8*P9+Q8*S9</f>
        <v>2.5335373954874889</v>
      </c>
      <c r="D18" s="20" t="s">
        <v>59</v>
      </c>
      <c r="K18" s="14" t="s">
        <v>71</v>
      </c>
      <c r="L18" s="16" t="s">
        <v>21</v>
      </c>
      <c r="M18" s="14"/>
    </row>
    <row r="19" spans="2:23" x14ac:dyDescent="0.3">
      <c r="B19" s="15" t="s">
        <v>43</v>
      </c>
      <c r="C19" s="19">
        <f>N10*P11+Q10*S11</f>
        <v>2.5335373954874889</v>
      </c>
      <c r="D19" s="20" t="s">
        <v>59</v>
      </c>
      <c r="K19" s="39">
        <v>1</v>
      </c>
      <c r="L19" s="41">
        <v>3</v>
      </c>
      <c r="M19" s="40" t="str">
        <f>LOOKUP(L19,$AJ$7:$AJ$16,$AK$7:$AK$16)</f>
        <v>3/8"</v>
      </c>
    </row>
    <row r="20" spans="2:23" x14ac:dyDescent="0.3">
      <c r="B20" s="15" t="s">
        <v>44</v>
      </c>
      <c r="C20" s="19">
        <f>N12*P13+Q12*S13</f>
        <v>5.0670747909749778</v>
      </c>
      <c r="D20" s="20" t="s">
        <v>59</v>
      </c>
      <c r="K20" s="21"/>
      <c r="L20" s="2">
        <f>IF(K19=0,0,LOOKUP(L19,$AJ$7:$AJ$16,$AL$7:$AL$16))</f>
        <v>0.95250000000000001</v>
      </c>
      <c r="M20" s="2">
        <f>IF(K19=0,0,LOOKUP(L19,$AJ$7:$AJ$16,$AM$7:$AM$16))</f>
        <v>0.71255739248085614</v>
      </c>
    </row>
    <row r="21" spans="2:23" x14ac:dyDescent="0.3">
      <c r="B21" s="15"/>
      <c r="E21" s="22"/>
      <c r="F21" s="22"/>
      <c r="G21" s="23"/>
      <c r="K21" s="21"/>
      <c r="L21" s="21"/>
      <c r="M21" s="21"/>
    </row>
    <row r="22" spans="2:23" x14ac:dyDescent="0.3">
      <c r="B22" s="43" t="s">
        <v>82</v>
      </c>
      <c r="E22" s="22"/>
      <c r="F22" s="22"/>
      <c r="G22" s="22"/>
    </row>
    <row r="23" spans="2:23" x14ac:dyDescent="0.3">
      <c r="N23" s="22"/>
      <c r="O23" s="22"/>
    </row>
    <row r="24" spans="2:23" x14ac:dyDescent="0.3">
      <c r="B24" s="15" t="s">
        <v>77</v>
      </c>
      <c r="C24" s="5">
        <f>C11+L20+MAX(O7,R7)/2</f>
        <v>5.5874999999999995</v>
      </c>
      <c r="D24" s="13" t="s">
        <v>25</v>
      </c>
      <c r="N24" s="24" t="str">
        <f>_xlfn.CONCAT(N6,"Ø",P6," + ",Q6,"Ø",S6)</f>
        <v>2Ø1/2" + 2Ø1/2"</v>
      </c>
      <c r="O24" s="22"/>
    </row>
    <row r="25" spans="2:23" x14ac:dyDescent="0.3">
      <c r="B25" s="15" t="s">
        <v>78</v>
      </c>
      <c r="C25" s="5">
        <f>C11+L20+MAX(O7,R7)+MAX(O9,R9)/2+(C9-2*C11-2*L20-MAX(O7,R7)-MAX(O9,R9)-MAX(O11,R11)-MAX(O13,R13))/3</f>
        <v>13.529166666666667</v>
      </c>
      <c r="D25" s="13" t="s">
        <v>25</v>
      </c>
      <c r="G25" s="5"/>
      <c r="N25" s="24"/>
      <c r="O25" s="22"/>
    </row>
    <row r="26" spans="2:23" x14ac:dyDescent="0.3">
      <c r="B26" s="15" t="s">
        <v>79</v>
      </c>
      <c r="C26" s="5">
        <f>C11+L20+MAX(O7,R7)+MAX(O9,R9)+MAX(O11,R11)/2+2*(C9-2*C11-2*L20-MAX(O7,R7)-MAX(O9,R9)-MAX(O11,R11)-MAX(O13,R13))/3</f>
        <v>21.470833333333331</v>
      </c>
      <c r="D26" s="13" t="s">
        <v>25</v>
      </c>
      <c r="E26" s="5"/>
      <c r="F26" s="5"/>
      <c r="N26" s="24" t="str">
        <f>_xlfn.CONCAT(N8,"Ø",P8," + ",Q8,"Ø",S8)</f>
        <v>1Ø1/2" + 1Ø1/2"</v>
      </c>
      <c r="O26" s="22"/>
    </row>
    <row r="27" spans="2:23" x14ac:dyDescent="0.3">
      <c r="B27" s="15" t="s">
        <v>80</v>
      </c>
      <c r="C27" s="5">
        <f>C9-C11-L20-MAX(O13,R13)/2</f>
        <v>29.412499999999998</v>
      </c>
      <c r="D27" s="13" t="s">
        <v>25</v>
      </c>
      <c r="E27" s="5"/>
      <c r="F27" s="5"/>
      <c r="N27" s="24"/>
      <c r="O27" s="22"/>
    </row>
    <row r="28" spans="2:23" x14ac:dyDescent="0.3">
      <c r="E28" s="5"/>
      <c r="F28" s="5"/>
      <c r="N28" s="24"/>
      <c r="O28" s="22"/>
    </row>
    <row r="29" spans="2:23" x14ac:dyDescent="0.3">
      <c r="B29" s="43" t="s">
        <v>83</v>
      </c>
      <c r="N29" s="24"/>
      <c r="O29" s="22"/>
    </row>
    <row r="30" spans="2:23" x14ac:dyDescent="0.3">
      <c r="I30" s="35" t="str">
        <f>_xlfn.CONCAT(K19,"Ø",M19)</f>
        <v>1Ø3/8"</v>
      </c>
      <c r="N30" s="24" t="str">
        <f>_xlfn.CONCAT(N10,"Ø",P10," + ",Q10,"Ø",S10)</f>
        <v>1Ø1/2" + 1Ø1/2"</v>
      </c>
      <c r="O30" s="22"/>
    </row>
    <row r="31" spans="2:23" x14ac:dyDescent="0.3">
      <c r="B31" s="25" t="s">
        <v>2</v>
      </c>
      <c r="C31" s="51">
        <v>1</v>
      </c>
      <c r="D31" s="26">
        <v>2</v>
      </c>
      <c r="E31" s="26">
        <v>3</v>
      </c>
      <c r="F31" s="27">
        <v>4</v>
      </c>
      <c r="N31" s="24"/>
      <c r="O31" s="22"/>
      <c r="W31" s="20" t="s">
        <v>99</v>
      </c>
    </row>
    <row r="32" spans="2:23" x14ac:dyDescent="0.3">
      <c r="B32" s="28" t="s">
        <v>0</v>
      </c>
      <c r="C32" s="29">
        <f>+C17</f>
        <v>5.0670747909749778</v>
      </c>
      <c r="D32" s="30">
        <f>+C18</f>
        <v>2.5335373954874889</v>
      </c>
      <c r="E32" s="30">
        <f>C19</f>
        <v>2.5335373954874889</v>
      </c>
      <c r="F32" s="31">
        <f>C20</f>
        <v>5.0670747909749778</v>
      </c>
      <c r="N32" s="24" t="str">
        <f>_xlfn.CONCAT(N12,"Ø",P12," + ",Q12,"Ø",S12)</f>
        <v>2Ø1/2" + 2Ø1/2"</v>
      </c>
      <c r="O32" s="22"/>
      <c r="W32" s="20" t="s">
        <v>100</v>
      </c>
    </row>
    <row r="33" spans="2:26" x14ac:dyDescent="0.3">
      <c r="B33" s="32" t="s">
        <v>1</v>
      </c>
      <c r="C33" s="33">
        <f>C24</f>
        <v>5.5874999999999995</v>
      </c>
      <c r="D33" s="44">
        <f>C25</f>
        <v>13.529166666666667</v>
      </c>
      <c r="E33" s="34">
        <f>C26</f>
        <v>21.470833333333331</v>
      </c>
      <c r="F33" s="54">
        <f>C27</f>
        <v>29.412499999999998</v>
      </c>
    </row>
    <row r="36" spans="2:26" x14ac:dyDescent="0.3">
      <c r="B36" s="43" t="s">
        <v>84</v>
      </c>
      <c r="L36" s="46"/>
    </row>
    <row r="37" spans="2:26" ht="14.4" x14ac:dyDescent="0.3">
      <c r="B37" s="12"/>
    </row>
    <row r="38" spans="2:26" ht="14.4" x14ac:dyDescent="0.3">
      <c r="B38" s="12"/>
    </row>
    <row r="39" spans="2:26" ht="14.4" x14ac:dyDescent="0.3">
      <c r="B39" s="12"/>
    </row>
    <row r="40" spans="2:26" ht="14.4" x14ac:dyDescent="0.3">
      <c r="B40" s="12"/>
    </row>
    <row r="41" spans="2:26" x14ac:dyDescent="0.3">
      <c r="B41" s="15" t="s">
        <v>35</v>
      </c>
      <c r="C41" s="5">
        <f>(C32*C33+D32*D33+E32*E33+F32*F33+C8*C9*C9/2)/(C32+D32+E32+F32+C8*C9)</f>
        <v>17.5</v>
      </c>
      <c r="D41" s="13" t="s">
        <v>25</v>
      </c>
      <c r="F41" s="22"/>
      <c r="G41" s="22"/>
    </row>
    <row r="44" spans="2:26" ht="24" x14ac:dyDescent="0.3">
      <c r="B44" s="36" t="s">
        <v>7</v>
      </c>
      <c r="C44" s="36" t="s">
        <v>3</v>
      </c>
      <c r="D44" s="36" t="s">
        <v>4</v>
      </c>
      <c r="E44" s="36" t="s">
        <v>5</v>
      </c>
      <c r="F44" s="36" t="s">
        <v>46</v>
      </c>
      <c r="G44" s="36" t="s">
        <v>8</v>
      </c>
      <c r="H44" s="36" t="s">
        <v>9</v>
      </c>
      <c r="I44" s="36" t="s">
        <v>10</v>
      </c>
      <c r="J44" s="36" t="s">
        <v>48</v>
      </c>
      <c r="K44" s="36" t="s">
        <v>11</v>
      </c>
      <c r="L44" s="36" t="s">
        <v>12</v>
      </c>
      <c r="M44" s="36" t="s">
        <v>13</v>
      </c>
      <c r="N44" s="36" t="s">
        <v>14</v>
      </c>
      <c r="O44" s="36" t="s">
        <v>50</v>
      </c>
      <c r="P44" s="36" t="s">
        <v>15</v>
      </c>
      <c r="Q44" s="36" t="s">
        <v>17</v>
      </c>
      <c r="R44" s="36" t="s">
        <v>18</v>
      </c>
      <c r="S44" s="36" t="s">
        <v>19</v>
      </c>
      <c r="T44" s="36" t="s">
        <v>52</v>
      </c>
      <c r="U44" s="36" t="s">
        <v>20</v>
      </c>
      <c r="V44" s="36" t="s">
        <v>16</v>
      </c>
      <c r="W44" s="36" t="s">
        <v>6</v>
      </c>
      <c r="X44" s="36" t="s">
        <v>21</v>
      </c>
      <c r="Y44" s="36" t="s">
        <v>22</v>
      </c>
      <c r="Z44" s="36" t="s">
        <v>23</v>
      </c>
    </row>
    <row r="45" spans="2:26" x14ac:dyDescent="0.3">
      <c r="V45" s="11">
        <v>0</v>
      </c>
      <c r="W45" s="11">
        <f>(SUM(C32:F32)*C6)/1000</f>
        <v>63.845142366284726</v>
      </c>
      <c r="X45" s="11">
        <v>0.9</v>
      </c>
      <c r="Y45" s="5">
        <f>V45*X45</f>
        <v>0</v>
      </c>
      <c r="Z45" s="5">
        <f>W45*X45</f>
        <v>57.460628129656257</v>
      </c>
    </row>
    <row r="46" spans="2:26" x14ac:dyDescent="0.3">
      <c r="B46" s="5">
        <f>C9/C10</f>
        <v>1</v>
      </c>
      <c r="C46" s="37">
        <f>$C$12*(C$33-$B46)/$B46</f>
        <v>1.3762499999999999E-2</v>
      </c>
      <c r="D46" s="37">
        <f t="shared" ref="D46:F61" si="0">$C$12*(D$33-$B46)/$B46</f>
        <v>3.7587500000000003E-2</v>
      </c>
      <c r="E46" s="37">
        <f t="shared" si="0"/>
        <v>6.1412499999999995E-2</v>
      </c>
      <c r="F46" s="37">
        <f t="shared" si="0"/>
        <v>8.5237499999999994E-2</v>
      </c>
      <c r="G46" s="38">
        <f>IF(C46&lt;-$C$13,-$C$6,IF(C46&lt;=$C$13,C46*$C$7,$C$6))</f>
        <v>4200</v>
      </c>
      <c r="H46" s="38">
        <f t="shared" ref="H46:I46" si="1">IF(D46&lt;-$C$13,-$C$6,IF(D46&lt;=$C$13,D46*$C$7,$C$6))</f>
        <v>4200</v>
      </c>
      <c r="I46" s="38">
        <f t="shared" si="1"/>
        <v>4200</v>
      </c>
      <c r="J46" s="38">
        <f>IF(F46&lt;-$C$13,-$C$6,IF(F46&lt;=$C$13,F46*$C$7,$C$6))</f>
        <v>4200</v>
      </c>
      <c r="K46" s="11">
        <f t="shared" ref="K46:K80" si="2">$C$5*B46</f>
        <v>0.85</v>
      </c>
      <c r="L46" s="38">
        <f>IF(C$33&lt;$K46,G46*C$32+0.85*$C$4*C$32,G46*C$32)</f>
        <v>21281.714122094905</v>
      </c>
      <c r="M46" s="38">
        <f t="shared" ref="M46:O46" si="3">IF(D$33&lt;$K46,H46*D$32+0.85*$C$4*D$32,H46*D$32)</f>
        <v>10640.857061047453</v>
      </c>
      <c r="N46" s="38">
        <f t="shared" si="3"/>
        <v>10640.857061047453</v>
      </c>
      <c r="O46" s="38">
        <f t="shared" si="3"/>
        <v>21281.714122094905</v>
      </c>
      <c r="P46" s="38">
        <f t="shared" ref="P46:P80" si="4">-0.85*$C$4*K46*$C$8</f>
        <v>-3793.125</v>
      </c>
      <c r="Q46" s="5">
        <f t="shared" ref="Q46:Q80" si="5">(L46*(C$33-$C$41))/100000</f>
        <v>-2.5351841947945561</v>
      </c>
      <c r="R46" s="5">
        <f t="shared" ref="R46:R80" si="6">(M46*(D$33-$C$41))/100000</f>
        <v>-0.42253069913242597</v>
      </c>
      <c r="S46" s="5">
        <f t="shared" ref="S46:S80" si="7">(N46*(E$33-$C$41))/100000</f>
        <v>0.42253069913242575</v>
      </c>
      <c r="T46" s="5">
        <f t="shared" ref="T46:T80" si="8">(O46*(F$33-$C$41))/100000</f>
        <v>2.5351841947945553</v>
      </c>
      <c r="U46" s="5">
        <f t="shared" ref="U46:U80" si="9">(P46*(K46/2-$C$41))/100000</f>
        <v>0.64767609375000001</v>
      </c>
      <c r="V46" s="5">
        <f t="shared" ref="V46:V80" si="10">SUM(Q46:U46)</f>
        <v>0.64767609374999913</v>
      </c>
      <c r="W46" s="5">
        <f t="shared" ref="W46:W80" si="11">SUM(L46:P46)/1000</f>
        <v>60.052017366284716</v>
      </c>
      <c r="X46" s="5">
        <f>_xlfn.IFS(F46&gt;0.005,0.9,F46&lt;$C$13,0.65,F46&lt;&gt;0.005,(0.9-0.65)*(F46-$C$13)/(0.005-$C$13)+0.65,F46&lt;&gt;$C$13,(0.9-0.65)*(F46-$C$13)/(0.005-$C$13)+0.65)</f>
        <v>0.9</v>
      </c>
      <c r="Y46" s="5">
        <f>V46*X46</f>
        <v>0.5829084843749992</v>
      </c>
      <c r="Z46" s="5">
        <f t="shared" ref="Z46:Z80" si="12">W46*X46</f>
        <v>54.046815629656244</v>
      </c>
    </row>
    <row r="47" spans="2:26" x14ac:dyDescent="0.3">
      <c r="B47" s="5">
        <f>B46+$C$9/$C$10</f>
        <v>2</v>
      </c>
      <c r="C47" s="37">
        <f t="shared" ref="C47:F69" si="13">$C$12*(C$33-$B47)/$B47</f>
        <v>5.3812499999999989E-3</v>
      </c>
      <c r="D47" s="37">
        <f t="shared" si="0"/>
        <v>1.729375E-2</v>
      </c>
      <c r="E47" s="37">
        <f t="shared" si="0"/>
        <v>2.9206249999999996E-2</v>
      </c>
      <c r="F47" s="37">
        <f t="shared" si="0"/>
        <v>4.1118749999999996E-2</v>
      </c>
      <c r="G47" s="38">
        <f t="shared" ref="G47:G80" si="14">IF(C47&lt;-$C$13,-$C$6,IF(C47&lt;=$C$13,C47*$C$7,$C$6))</f>
        <v>4200</v>
      </c>
      <c r="H47" s="38">
        <f t="shared" ref="H47:H80" si="15">IF(D47&lt;-$C$13,-$C$6,IF(D47&lt;=$C$13,D47*$C$7,$C$6))</f>
        <v>4200</v>
      </c>
      <c r="I47" s="38">
        <f t="shared" ref="I47:I80" si="16">IF(E47&lt;-$C$13,-$C$6,IF(E47&lt;=$C$13,E47*$C$7,$C$6))</f>
        <v>4200</v>
      </c>
      <c r="J47" s="38">
        <f t="shared" ref="J47:J80" si="17">IF(F47&lt;-$C$13,-$C$6,IF(F47&lt;=$C$13,F47*$C$7,$C$6))</f>
        <v>4200</v>
      </c>
      <c r="K47" s="11">
        <f t="shared" si="2"/>
        <v>1.7</v>
      </c>
      <c r="L47" s="38">
        <f t="shared" ref="L47:L80" si="18">IF(C$33&lt;$K47,G47*C$32+0.85*$C$4*C$32,G47*C$32)</f>
        <v>21281.714122094905</v>
      </c>
      <c r="M47" s="38">
        <f t="shared" ref="M47:M80" si="19">IF(D$33&lt;$K47,H47*D$32+0.85*$C$4*D$32,H47*D$32)</f>
        <v>10640.857061047453</v>
      </c>
      <c r="N47" s="38">
        <f t="shared" ref="N47:N80" si="20">IF(E$33&lt;$K47,I47*E$32+0.85*$C$4*E$32,I47*E$32)</f>
        <v>10640.857061047453</v>
      </c>
      <c r="O47" s="38">
        <f t="shared" ref="O47:O80" si="21">IF(F$33&lt;$K47,J47*F$32+0.85*$C$4*F$32,J47*F$32)</f>
        <v>21281.714122094905</v>
      </c>
      <c r="P47" s="38">
        <f t="shared" si="4"/>
        <v>-7586.25</v>
      </c>
      <c r="Q47" s="5">
        <f t="shared" si="5"/>
        <v>-2.5351841947945561</v>
      </c>
      <c r="R47" s="5">
        <f t="shared" si="6"/>
        <v>-0.42253069913242597</v>
      </c>
      <c r="S47" s="5">
        <f t="shared" si="7"/>
        <v>0.42253069913242575</v>
      </c>
      <c r="T47" s="5">
        <f t="shared" si="8"/>
        <v>2.5351841947945553</v>
      </c>
      <c r="U47" s="5">
        <f t="shared" si="9"/>
        <v>1.2631106249999999</v>
      </c>
      <c r="V47" s="5">
        <f t="shared" si="10"/>
        <v>1.263110624999999</v>
      </c>
      <c r="W47" s="5">
        <f t="shared" si="11"/>
        <v>56.258892366284712</v>
      </c>
      <c r="X47" s="5">
        <f t="shared" ref="X47:X80" si="22">_xlfn.IFS(F47&gt;0.005,0.9,F47&lt;$C$13,0.65,F47&lt;&gt;0.005,(0.9-0.65)*(F47-$C$13)/(0.005-$C$13)+0.65,F47&lt;&gt;$C$13,(0.9-0.65)*(F47-$C$13)/(0.005-$C$13)+0.65)</f>
        <v>0.9</v>
      </c>
      <c r="Y47" s="5">
        <f t="shared" ref="Y47:Y80" si="23">V47*X47</f>
        <v>1.1367995624999991</v>
      </c>
      <c r="Z47" s="5">
        <f t="shared" si="12"/>
        <v>50.633003129656245</v>
      </c>
    </row>
    <row r="48" spans="2:26" x14ac:dyDescent="0.3">
      <c r="B48" s="5">
        <f t="shared" ref="B48:B80" si="24">B47+$C$9/$C$10</f>
        <v>3</v>
      </c>
      <c r="C48" s="37">
        <f t="shared" si="13"/>
        <v>2.5874999999999995E-3</v>
      </c>
      <c r="D48" s="37">
        <f t="shared" si="0"/>
        <v>1.0529166666666668E-2</v>
      </c>
      <c r="E48" s="37">
        <f t="shared" si="0"/>
        <v>1.8470833333333332E-2</v>
      </c>
      <c r="F48" s="37">
        <f t="shared" si="0"/>
        <v>2.6412499999999995E-2</v>
      </c>
      <c r="G48" s="38">
        <f t="shared" si="14"/>
        <v>4200</v>
      </c>
      <c r="H48" s="38">
        <f t="shared" si="15"/>
        <v>4200</v>
      </c>
      <c r="I48" s="38">
        <f t="shared" si="16"/>
        <v>4200</v>
      </c>
      <c r="J48" s="38">
        <f t="shared" si="17"/>
        <v>4200</v>
      </c>
      <c r="K48" s="11">
        <f t="shared" si="2"/>
        <v>2.5499999999999998</v>
      </c>
      <c r="L48" s="38">
        <f t="shared" si="18"/>
        <v>21281.714122094905</v>
      </c>
      <c r="M48" s="38">
        <f t="shared" si="19"/>
        <v>10640.857061047453</v>
      </c>
      <c r="N48" s="38">
        <f t="shared" si="20"/>
        <v>10640.857061047453</v>
      </c>
      <c r="O48" s="38">
        <f t="shared" si="21"/>
        <v>21281.714122094905</v>
      </c>
      <c r="P48" s="38">
        <f t="shared" si="4"/>
        <v>-11379.374999999998</v>
      </c>
      <c r="Q48" s="5">
        <f t="shared" si="5"/>
        <v>-2.5351841947945561</v>
      </c>
      <c r="R48" s="5">
        <f t="shared" si="6"/>
        <v>-0.42253069913242597</v>
      </c>
      <c r="S48" s="5">
        <f t="shared" si="7"/>
        <v>0.42253069913242575</v>
      </c>
      <c r="T48" s="5">
        <f t="shared" si="8"/>
        <v>2.5351841947945553</v>
      </c>
      <c r="U48" s="5">
        <f t="shared" si="9"/>
        <v>1.8463035937500001</v>
      </c>
      <c r="V48" s="5">
        <f t="shared" si="10"/>
        <v>1.8463035937499992</v>
      </c>
      <c r="W48" s="5">
        <f t="shared" si="11"/>
        <v>52.465767366284716</v>
      </c>
      <c r="X48" s="5">
        <f t="shared" si="22"/>
        <v>0.9</v>
      </c>
      <c r="Y48" s="5">
        <f t="shared" si="23"/>
        <v>1.6616732343749994</v>
      </c>
      <c r="Z48" s="5">
        <f t="shared" si="12"/>
        <v>47.219190629656246</v>
      </c>
    </row>
    <row r="49" spans="2:26" x14ac:dyDescent="0.3">
      <c r="B49" s="5">
        <f t="shared" si="24"/>
        <v>4</v>
      </c>
      <c r="C49" s="37">
        <f t="shared" si="13"/>
        <v>1.1906249999999996E-3</v>
      </c>
      <c r="D49" s="37">
        <f t="shared" si="0"/>
        <v>7.1468750000000004E-3</v>
      </c>
      <c r="E49" s="37">
        <f t="shared" si="0"/>
        <v>1.3103124999999998E-2</v>
      </c>
      <c r="F49" s="37">
        <f t="shared" si="0"/>
        <v>1.9059375E-2</v>
      </c>
      <c r="G49" s="38">
        <f t="shared" si="14"/>
        <v>2381.2499999999991</v>
      </c>
      <c r="H49" s="38">
        <f t="shared" si="15"/>
        <v>4200</v>
      </c>
      <c r="I49" s="38">
        <f t="shared" si="16"/>
        <v>4200</v>
      </c>
      <c r="J49" s="38">
        <f t="shared" si="17"/>
        <v>4200</v>
      </c>
      <c r="K49" s="11">
        <f t="shared" si="2"/>
        <v>3.4</v>
      </c>
      <c r="L49" s="38">
        <f t="shared" si="18"/>
        <v>12065.971846009161</v>
      </c>
      <c r="M49" s="38">
        <f t="shared" si="19"/>
        <v>10640.857061047453</v>
      </c>
      <c r="N49" s="38">
        <f t="shared" si="20"/>
        <v>10640.857061047453</v>
      </c>
      <c r="O49" s="38">
        <f t="shared" si="21"/>
        <v>21281.714122094905</v>
      </c>
      <c r="P49" s="38">
        <f t="shared" si="4"/>
        <v>-15172.5</v>
      </c>
      <c r="Q49" s="5">
        <f t="shared" si="5"/>
        <v>-1.4373588961558414</v>
      </c>
      <c r="R49" s="5">
        <f t="shared" si="6"/>
        <v>-0.42253069913242597</v>
      </c>
      <c r="S49" s="5">
        <f t="shared" si="7"/>
        <v>0.42253069913242575</v>
      </c>
      <c r="T49" s="5">
        <f t="shared" si="8"/>
        <v>2.5351841947945553</v>
      </c>
      <c r="U49" s="5">
        <f t="shared" si="9"/>
        <v>2.3972549999999999</v>
      </c>
      <c r="V49" s="5">
        <f t="shared" si="10"/>
        <v>3.4950802986387135</v>
      </c>
      <c r="W49" s="5">
        <f t="shared" si="11"/>
        <v>39.456900090198971</v>
      </c>
      <c r="X49" s="5">
        <f t="shared" si="22"/>
        <v>0.9</v>
      </c>
      <c r="Y49" s="5">
        <f t="shared" si="23"/>
        <v>3.1455722687748424</v>
      </c>
      <c r="Z49" s="5">
        <f t="shared" si="12"/>
        <v>35.511210081179073</v>
      </c>
    </row>
    <row r="50" spans="2:26" x14ac:dyDescent="0.3">
      <c r="B50" s="5">
        <f t="shared" si="24"/>
        <v>5</v>
      </c>
      <c r="C50" s="37">
        <f t="shared" si="13"/>
        <v>3.5249999999999968E-4</v>
      </c>
      <c r="D50" s="37">
        <f t="shared" si="0"/>
        <v>5.1175000000000005E-3</v>
      </c>
      <c r="E50" s="37">
        <f t="shared" si="0"/>
        <v>9.8824999999999989E-3</v>
      </c>
      <c r="F50" s="37">
        <f t="shared" si="0"/>
        <v>1.4647499999999999E-2</v>
      </c>
      <c r="G50" s="38">
        <f t="shared" si="14"/>
        <v>704.99999999999932</v>
      </c>
      <c r="H50" s="38">
        <f t="shared" si="15"/>
        <v>4200</v>
      </c>
      <c r="I50" s="38">
        <f t="shared" si="16"/>
        <v>4200</v>
      </c>
      <c r="J50" s="38">
        <f t="shared" si="17"/>
        <v>4200</v>
      </c>
      <c r="K50" s="11">
        <f t="shared" si="2"/>
        <v>4.25</v>
      </c>
      <c r="L50" s="38">
        <f t="shared" si="18"/>
        <v>3572.2877276373561</v>
      </c>
      <c r="M50" s="38">
        <f t="shared" si="19"/>
        <v>10640.857061047453</v>
      </c>
      <c r="N50" s="38">
        <f t="shared" si="20"/>
        <v>10640.857061047453</v>
      </c>
      <c r="O50" s="38">
        <f t="shared" si="21"/>
        <v>21281.714122094905</v>
      </c>
      <c r="P50" s="38">
        <f t="shared" si="4"/>
        <v>-18965.625</v>
      </c>
      <c r="Q50" s="5">
        <f t="shared" si="5"/>
        <v>-0.42554877555480008</v>
      </c>
      <c r="R50" s="5">
        <f t="shared" si="6"/>
        <v>-0.42253069913242597</v>
      </c>
      <c r="S50" s="5">
        <f t="shared" si="7"/>
        <v>0.42253069913242575</v>
      </c>
      <c r="T50" s="5">
        <f t="shared" si="8"/>
        <v>2.5351841947945553</v>
      </c>
      <c r="U50" s="5">
        <f t="shared" si="9"/>
        <v>2.9159648437499999</v>
      </c>
      <c r="V50" s="5">
        <f t="shared" si="10"/>
        <v>5.0256002629897552</v>
      </c>
      <c r="W50" s="5">
        <f t="shared" si="11"/>
        <v>27.170090971827165</v>
      </c>
      <c r="X50" s="5">
        <f t="shared" si="22"/>
        <v>0.9</v>
      </c>
      <c r="Y50" s="5">
        <f t="shared" si="23"/>
        <v>4.5230402366907798</v>
      </c>
      <c r="Z50" s="5">
        <f t="shared" si="12"/>
        <v>24.45308187464445</v>
      </c>
    </row>
    <row r="51" spans="2:26" x14ac:dyDescent="0.3">
      <c r="B51" s="5">
        <f t="shared" si="24"/>
        <v>6</v>
      </c>
      <c r="C51" s="37">
        <f t="shared" si="13"/>
        <v>-2.0625000000000027E-4</v>
      </c>
      <c r="D51" s="37">
        <f t="shared" si="0"/>
        <v>3.7645833333333333E-3</v>
      </c>
      <c r="E51" s="37">
        <f t="shared" si="0"/>
        <v>7.7354166666666656E-3</v>
      </c>
      <c r="F51" s="37">
        <f t="shared" si="0"/>
        <v>1.170625E-2</v>
      </c>
      <c r="G51" s="38">
        <f t="shared" si="14"/>
        <v>-412.50000000000051</v>
      </c>
      <c r="H51" s="38">
        <f t="shared" si="15"/>
        <v>4200</v>
      </c>
      <c r="I51" s="38">
        <f t="shared" si="16"/>
        <v>4200</v>
      </c>
      <c r="J51" s="38">
        <f t="shared" si="17"/>
        <v>4200</v>
      </c>
      <c r="K51" s="11">
        <f t="shared" si="2"/>
        <v>5.0999999999999996</v>
      </c>
      <c r="L51" s="38">
        <f t="shared" si="18"/>
        <v>-2090.168351277181</v>
      </c>
      <c r="M51" s="38">
        <f t="shared" si="19"/>
        <v>10640.857061047453</v>
      </c>
      <c r="N51" s="38">
        <f t="shared" si="20"/>
        <v>10640.857061047453</v>
      </c>
      <c r="O51" s="38">
        <f t="shared" si="21"/>
        <v>21281.714122094905</v>
      </c>
      <c r="P51" s="38">
        <f t="shared" si="4"/>
        <v>-22758.749999999996</v>
      </c>
      <c r="Q51" s="5">
        <f t="shared" si="5"/>
        <v>0.24899130484589424</v>
      </c>
      <c r="R51" s="5">
        <f t="shared" si="6"/>
        <v>-0.42253069913242597</v>
      </c>
      <c r="S51" s="5">
        <f t="shared" si="7"/>
        <v>0.42253069913242575</v>
      </c>
      <c r="T51" s="5">
        <f t="shared" si="8"/>
        <v>2.5351841947945553</v>
      </c>
      <c r="U51" s="5">
        <f t="shared" si="9"/>
        <v>3.4024331249999995</v>
      </c>
      <c r="V51" s="5">
        <f t="shared" si="10"/>
        <v>6.1866086246404492</v>
      </c>
      <c r="W51" s="5">
        <f t="shared" si="11"/>
        <v>17.714509892912631</v>
      </c>
      <c r="X51" s="5">
        <f t="shared" si="22"/>
        <v>0.9</v>
      </c>
      <c r="Y51" s="5">
        <f t="shared" si="23"/>
        <v>5.5679477621764049</v>
      </c>
      <c r="Z51" s="5">
        <f t="shared" si="12"/>
        <v>15.943058903621369</v>
      </c>
    </row>
    <row r="52" spans="2:26" x14ac:dyDescent="0.3">
      <c r="B52" s="5">
        <f t="shared" si="24"/>
        <v>7</v>
      </c>
      <c r="C52" s="37">
        <f t="shared" si="13"/>
        <v>-6.0535714285714305E-4</v>
      </c>
      <c r="D52" s="37">
        <f t="shared" si="0"/>
        <v>2.7982142857142858E-3</v>
      </c>
      <c r="E52" s="37">
        <f t="shared" si="0"/>
        <v>6.2017857142857135E-3</v>
      </c>
      <c r="F52" s="37">
        <f t="shared" si="0"/>
        <v>9.6053571428571412E-3</v>
      </c>
      <c r="G52" s="38">
        <f t="shared" si="14"/>
        <v>-1210.714285714286</v>
      </c>
      <c r="H52" s="38">
        <f t="shared" si="15"/>
        <v>4200</v>
      </c>
      <c r="I52" s="38">
        <f t="shared" si="16"/>
        <v>4200</v>
      </c>
      <c r="J52" s="38">
        <f t="shared" si="17"/>
        <v>4200</v>
      </c>
      <c r="K52" s="11">
        <f t="shared" si="2"/>
        <v>5.95</v>
      </c>
      <c r="L52" s="38">
        <f t="shared" si="18"/>
        <v>-5230.3069860271025</v>
      </c>
      <c r="M52" s="38">
        <f t="shared" si="19"/>
        <v>10640.857061047453</v>
      </c>
      <c r="N52" s="38">
        <f t="shared" si="20"/>
        <v>10640.857061047453</v>
      </c>
      <c r="O52" s="38">
        <f t="shared" si="21"/>
        <v>21281.714122094905</v>
      </c>
      <c r="P52" s="38">
        <f t="shared" si="4"/>
        <v>-26551.875</v>
      </c>
      <c r="Q52" s="5">
        <f t="shared" si="5"/>
        <v>0.6230603197104787</v>
      </c>
      <c r="R52" s="5">
        <f t="shared" si="6"/>
        <v>-0.42253069913242597</v>
      </c>
      <c r="S52" s="5">
        <f t="shared" si="7"/>
        <v>0.42253069913242575</v>
      </c>
      <c r="T52" s="5">
        <f t="shared" si="8"/>
        <v>2.5351841947945553</v>
      </c>
      <c r="U52" s="5">
        <f t="shared" si="9"/>
        <v>3.8566598437500001</v>
      </c>
      <c r="V52" s="5">
        <f t="shared" si="10"/>
        <v>7.0149043582550341</v>
      </c>
      <c r="W52" s="5">
        <f t="shared" si="11"/>
        <v>10.781246258162705</v>
      </c>
      <c r="X52" s="5">
        <f t="shared" si="22"/>
        <v>0.9</v>
      </c>
      <c r="Y52" s="5">
        <f t="shared" si="23"/>
        <v>6.3134139224295307</v>
      </c>
      <c r="Z52" s="5">
        <f t="shared" si="12"/>
        <v>9.7031216323464342</v>
      </c>
    </row>
    <row r="53" spans="2:26" x14ac:dyDescent="0.3">
      <c r="B53" s="5">
        <f t="shared" si="24"/>
        <v>8</v>
      </c>
      <c r="C53" s="37">
        <f t="shared" si="13"/>
        <v>-9.0468750000000022E-4</v>
      </c>
      <c r="D53" s="37">
        <f t="shared" si="0"/>
        <v>2.0734375000000002E-3</v>
      </c>
      <c r="E53" s="37">
        <f t="shared" si="0"/>
        <v>5.0515624999999996E-3</v>
      </c>
      <c r="F53" s="37">
        <f t="shared" si="0"/>
        <v>8.0296874999999986E-3</v>
      </c>
      <c r="G53" s="38">
        <f t="shared" si="14"/>
        <v>-1809.3750000000005</v>
      </c>
      <c r="H53" s="38">
        <f t="shared" si="15"/>
        <v>4146.875</v>
      </c>
      <c r="I53" s="38">
        <f t="shared" si="16"/>
        <v>4200</v>
      </c>
      <c r="J53" s="38">
        <f t="shared" si="17"/>
        <v>4200</v>
      </c>
      <c r="K53" s="11">
        <f t="shared" si="2"/>
        <v>6.8</v>
      </c>
      <c r="L53" s="38">
        <f t="shared" si="18"/>
        <v>-8263.7655997313195</v>
      </c>
      <c r="M53" s="38">
        <f t="shared" si="19"/>
        <v>10506.26288691218</v>
      </c>
      <c r="N53" s="38">
        <f t="shared" si="20"/>
        <v>10640.857061047453</v>
      </c>
      <c r="O53" s="38">
        <f t="shared" si="21"/>
        <v>21281.714122094905</v>
      </c>
      <c r="P53" s="38">
        <f t="shared" si="4"/>
        <v>-30345</v>
      </c>
      <c r="Q53" s="5">
        <f t="shared" si="5"/>
        <v>0.98442107706799364</v>
      </c>
      <c r="R53" s="5">
        <f t="shared" si="6"/>
        <v>-0.41718618880113784</v>
      </c>
      <c r="S53" s="5">
        <f t="shared" si="7"/>
        <v>0.42253069913242575</v>
      </c>
      <c r="T53" s="5">
        <f t="shared" si="8"/>
        <v>2.5351841947945553</v>
      </c>
      <c r="U53" s="5">
        <f t="shared" si="9"/>
        <v>4.278645</v>
      </c>
      <c r="V53" s="5">
        <f t="shared" si="10"/>
        <v>7.8035947821938372</v>
      </c>
      <c r="W53" s="5">
        <f t="shared" si="11"/>
        <v>3.8200684703232182</v>
      </c>
      <c r="X53" s="5">
        <f t="shared" si="22"/>
        <v>0.9</v>
      </c>
      <c r="Y53" s="5">
        <f t="shared" si="23"/>
        <v>7.0232353039744533</v>
      </c>
      <c r="Z53" s="5">
        <f t="shared" si="12"/>
        <v>3.4380616232908965</v>
      </c>
    </row>
    <row r="54" spans="2:26" x14ac:dyDescent="0.3">
      <c r="B54" s="5">
        <f t="shared" si="24"/>
        <v>9</v>
      </c>
      <c r="C54" s="37">
        <f t="shared" si="13"/>
        <v>-1.1375000000000003E-3</v>
      </c>
      <c r="D54" s="37">
        <f t="shared" si="0"/>
        <v>1.5097222222222222E-3</v>
      </c>
      <c r="E54" s="37">
        <f t="shared" si="0"/>
        <v>4.156944444444444E-3</v>
      </c>
      <c r="F54" s="37">
        <f t="shared" si="0"/>
        <v>6.8041666666666658E-3</v>
      </c>
      <c r="G54" s="38">
        <f t="shared" si="14"/>
        <v>-2275.0000000000005</v>
      </c>
      <c r="H54" s="38">
        <f t="shared" si="15"/>
        <v>3019.4444444444443</v>
      </c>
      <c r="I54" s="38">
        <f t="shared" si="16"/>
        <v>4200</v>
      </c>
      <c r="J54" s="38">
        <f t="shared" si="17"/>
        <v>4200</v>
      </c>
      <c r="K54" s="11">
        <f t="shared" si="2"/>
        <v>7.6499999999999995</v>
      </c>
      <c r="L54" s="38">
        <f t="shared" si="18"/>
        <v>-10623.122299279044</v>
      </c>
      <c r="M54" s="38">
        <f t="shared" si="19"/>
        <v>7649.8754135969457</v>
      </c>
      <c r="N54" s="38">
        <f t="shared" si="20"/>
        <v>10640.857061047453</v>
      </c>
      <c r="O54" s="38">
        <f t="shared" si="21"/>
        <v>21281.714122094905</v>
      </c>
      <c r="P54" s="38">
        <f t="shared" si="4"/>
        <v>-34138.125</v>
      </c>
      <c r="Q54" s="5">
        <f t="shared" si="5"/>
        <v>1.2654794439016164</v>
      </c>
      <c r="R54" s="5">
        <f t="shared" si="6"/>
        <v>-0.30376380288157873</v>
      </c>
      <c r="S54" s="5">
        <f t="shared" si="7"/>
        <v>0.42253069913242575</v>
      </c>
      <c r="T54" s="5">
        <f t="shared" si="8"/>
        <v>2.5351841947945553</v>
      </c>
      <c r="U54" s="5">
        <f t="shared" si="9"/>
        <v>4.6683885937499996</v>
      </c>
      <c r="V54" s="5">
        <f t="shared" si="10"/>
        <v>8.5878191286970171</v>
      </c>
      <c r="W54" s="5">
        <f t="shared" si="11"/>
        <v>-5.1888007025397416</v>
      </c>
      <c r="X54" s="5">
        <f t="shared" si="22"/>
        <v>0.9</v>
      </c>
      <c r="Y54" s="5">
        <f t="shared" si="23"/>
        <v>7.729037215827316</v>
      </c>
      <c r="Z54" s="5">
        <f t="shared" si="12"/>
        <v>-4.6699206322857671</v>
      </c>
    </row>
    <row r="55" spans="2:26" x14ac:dyDescent="0.3">
      <c r="B55" s="5">
        <f t="shared" si="24"/>
        <v>10</v>
      </c>
      <c r="C55" s="37">
        <f t="shared" si="13"/>
        <v>-1.3237500000000003E-3</v>
      </c>
      <c r="D55" s="37">
        <f t="shared" si="0"/>
        <v>1.0587500000000002E-3</v>
      </c>
      <c r="E55" s="37">
        <f t="shared" si="0"/>
        <v>3.441249999999999E-3</v>
      </c>
      <c r="F55" s="37">
        <f t="shared" si="0"/>
        <v>5.8237499999999999E-3</v>
      </c>
      <c r="G55" s="38">
        <f t="shared" si="14"/>
        <v>-2647.5000000000005</v>
      </c>
      <c r="H55" s="38">
        <f t="shared" si="15"/>
        <v>2117.5000000000005</v>
      </c>
      <c r="I55" s="38">
        <f t="shared" si="16"/>
        <v>4200</v>
      </c>
      <c r="J55" s="38">
        <f t="shared" si="17"/>
        <v>4200</v>
      </c>
      <c r="K55" s="11">
        <f t="shared" si="2"/>
        <v>8.5</v>
      </c>
      <c r="L55" s="38">
        <f t="shared" si="18"/>
        <v>-12510.607658917223</v>
      </c>
      <c r="M55" s="38">
        <f t="shared" si="19"/>
        <v>5364.7654349447594</v>
      </c>
      <c r="N55" s="38">
        <f t="shared" si="20"/>
        <v>10640.857061047453</v>
      </c>
      <c r="O55" s="38">
        <f t="shared" si="21"/>
        <v>21281.714122094905</v>
      </c>
      <c r="P55" s="38">
        <f t="shared" si="4"/>
        <v>-37931.25</v>
      </c>
      <c r="Q55" s="5">
        <f t="shared" si="5"/>
        <v>1.4903261373685144</v>
      </c>
      <c r="R55" s="5">
        <f t="shared" si="6"/>
        <v>-0.21302589414593148</v>
      </c>
      <c r="S55" s="5">
        <f t="shared" si="7"/>
        <v>0.42253069913242575</v>
      </c>
      <c r="T55" s="5">
        <f t="shared" si="8"/>
        <v>2.5351841947945553</v>
      </c>
      <c r="U55" s="5">
        <f t="shared" si="9"/>
        <v>5.0258906249999997</v>
      </c>
      <c r="V55" s="5">
        <f t="shared" si="10"/>
        <v>9.2609057621495623</v>
      </c>
      <c r="W55" s="5">
        <f t="shared" si="11"/>
        <v>-13.154521040830106</v>
      </c>
      <c r="X55" s="5">
        <f t="shared" si="22"/>
        <v>0.9</v>
      </c>
      <c r="Y55" s="5">
        <f t="shared" si="23"/>
        <v>8.3348151859346071</v>
      </c>
      <c r="Z55" s="5">
        <f t="shared" si="12"/>
        <v>-11.839068936747095</v>
      </c>
    </row>
    <row r="56" spans="2:26" x14ac:dyDescent="0.3">
      <c r="B56" s="5">
        <f t="shared" si="24"/>
        <v>11</v>
      </c>
      <c r="C56" s="37">
        <f t="shared" si="13"/>
        <v>-1.4761363636363637E-3</v>
      </c>
      <c r="D56" s="37">
        <f t="shared" si="0"/>
        <v>6.8977272727272735E-4</v>
      </c>
      <c r="E56" s="37">
        <f t="shared" si="0"/>
        <v>2.855681818181818E-3</v>
      </c>
      <c r="F56" s="37">
        <f t="shared" si="0"/>
        <v>5.0215909090909087E-3</v>
      </c>
      <c r="G56" s="38">
        <f t="shared" si="14"/>
        <v>-2952.2727272727275</v>
      </c>
      <c r="H56" s="38">
        <f t="shared" si="15"/>
        <v>1379.5454545454547</v>
      </c>
      <c r="I56" s="38">
        <f t="shared" si="16"/>
        <v>4200</v>
      </c>
      <c r="J56" s="38">
        <f t="shared" si="17"/>
        <v>4200</v>
      </c>
      <c r="K56" s="11">
        <f t="shared" si="2"/>
        <v>9.35</v>
      </c>
      <c r="L56" s="38">
        <f t="shared" si="18"/>
        <v>-14054.91386225755</v>
      </c>
      <c r="M56" s="38">
        <f t="shared" si="19"/>
        <v>3495.1299978656953</v>
      </c>
      <c r="N56" s="38">
        <f t="shared" si="20"/>
        <v>10640.857061047453</v>
      </c>
      <c r="O56" s="38">
        <f t="shared" si="21"/>
        <v>21281.714122094905</v>
      </c>
      <c r="P56" s="38">
        <f t="shared" si="4"/>
        <v>-41724.375</v>
      </c>
      <c r="Q56" s="5">
        <f t="shared" si="5"/>
        <v>1.6742916138414308</v>
      </c>
      <c r="R56" s="5">
        <f t="shared" si="6"/>
        <v>-0.13878578699858365</v>
      </c>
      <c r="S56" s="5">
        <f t="shared" si="7"/>
        <v>0.42253069913242575</v>
      </c>
      <c r="T56" s="5">
        <f t="shared" si="8"/>
        <v>2.5351841947945553</v>
      </c>
      <c r="U56" s="5">
        <f t="shared" si="9"/>
        <v>5.3511510937500004</v>
      </c>
      <c r="V56" s="5">
        <f t="shared" si="10"/>
        <v>9.8443718145198282</v>
      </c>
      <c r="W56" s="5">
        <f t="shared" si="11"/>
        <v>-20.361587681249496</v>
      </c>
      <c r="X56" s="5">
        <f t="shared" si="22"/>
        <v>0.9</v>
      </c>
      <c r="Y56" s="5">
        <f t="shared" si="23"/>
        <v>8.8599346330678461</v>
      </c>
      <c r="Z56" s="5">
        <f t="shared" si="12"/>
        <v>-18.325428913124547</v>
      </c>
    </row>
    <row r="57" spans="2:26" x14ac:dyDescent="0.3">
      <c r="B57" s="5">
        <f t="shared" si="24"/>
        <v>12</v>
      </c>
      <c r="C57" s="37">
        <f t="shared" si="13"/>
        <v>-1.6031250000000002E-3</v>
      </c>
      <c r="D57" s="37">
        <f t="shared" si="0"/>
        <v>3.8229166666666668E-4</v>
      </c>
      <c r="E57" s="37">
        <f t="shared" si="0"/>
        <v>2.3677083333333328E-3</v>
      </c>
      <c r="F57" s="37">
        <f t="shared" si="0"/>
        <v>4.3531249999999994E-3</v>
      </c>
      <c r="G57" s="38">
        <f t="shared" si="14"/>
        <v>-3206.2500000000005</v>
      </c>
      <c r="H57" s="38">
        <f t="shared" si="15"/>
        <v>764.58333333333337</v>
      </c>
      <c r="I57" s="38">
        <f t="shared" si="16"/>
        <v>4200</v>
      </c>
      <c r="J57" s="38">
        <f t="shared" si="17"/>
        <v>4200</v>
      </c>
      <c r="K57" s="11">
        <f t="shared" si="2"/>
        <v>10.199999999999999</v>
      </c>
      <c r="L57" s="38">
        <f t="shared" si="18"/>
        <v>-15341.835698374492</v>
      </c>
      <c r="M57" s="38">
        <f t="shared" si="19"/>
        <v>1937.100466966476</v>
      </c>
      <c r="N57" s="38">
        <f t="shared" si="20"/>
        <v>10640.857061047453</v>
      </c>
      <c r="O57" s="38">
        <f t="shared" si="21"/>
        <v>21281.714122094905</v>
      </c>
      <c r="P57" s="38">
        <f t="shared" si="4"/>
        <v>-45517.499999999993</v>
      </c>
      <c r="Q57" s="5">
        <f t="shared" si="5"/>
        <v>1.8275961775688618</v>
      </c>
      <c r="R57" s="5">
        <f t="shared" si="6"/>
        <v>-7.6919031042460478E-2</v>
      </c>
      <c r="S57" s="5">
        <f t="shared" si="7"/>
        <v>0.42253069913242575</v>
      </c>
      <c r="T57" s="5">
        <f t="shared" si="8"/>
        <v>2.5351841947945553</v>
      </c>
      <c r="U57" s="5">
        <f t="shared" si="9"/>
        <v>5.644169999999999</v>
      </c>
      <c r="V57" s="5">
        <f t="shared" si="10"/>
        <v>10.352562040453382</v>
      </c>
      <c r="W57" s="5">
        <f t="shared" si="11"/>
        <v>-26.99966404826565</v>
      </c>
      <c r="X57" s="5">
        <f t="shared" si="22"/>
        <v>0.84423491379310345</v>
      </c>
      <c r="Y57" s="5">
        <f t="shared" si="23"/>
        <v>8.7399943217599159</v>
      </c>
      <c r="Z57" s="5">
        <f t="shared" si="12"/>
        <v>-22.794059050230306</v>
      </c>
    </row>
    <row r="58" spans="2:26" x14ac:dyDescent="0.3">
      <c r="B58" s="5">
        <f t="shared" si="24"/>
        <v>13</v>
      </c>
      <c r="C58" s="37">
        <f t="shared" si="13"/>
        <v>-1.7105769230769234E-3</v>
      </c>
      <c r="D58" s="37">
        <f t="shared" si="0"/>
        <v>1.2211538461538463E-4</v>
      </c>
      <c r="E58" s="37">
        <f t="shared" si="0"/>
        <v>1.9548076923076919E-3</v>
      </c>
      <c r="F58" s="37">
        <f t="shared" si="0"/>
        <v>3.7874999999999996E-3</v>
      </c>
      <c r="G58" s="38">
        <f t="shared" si="14"/>
        <v>-3421.1538461538466</v>
      </c>
      <c r="H58" s="38">
        <f t="shared" si="15"/>
        <v>244.23076923076925</v>
      </c>
      <c r="I58" s="38">
        <f t="shared" si="16"/>
        <v>3909.6153846153838</v>
      </c>
      <c r="J58" s="38">
        <f t="shared" si="17"/>
        <v>4200</v>
      </c>
      <c r="K58" s="11">
        <f t="shared" si="2"/>
        <v>11.049999999999999</v>
      </c>
      <c r="L58" s="38">
        <f t="shared" si="18"/>
        <v>-16430.769559704207</v>
      </c>
      <c r="M58" s="38">
        <f t="shared" si="19"/>
        <v>618.76778697482905</v>
      </c>
      <c r="N58" s="38">
        <f t="shared" si="20"/>
        <v>9905.1567788962766</v>
      </c>
      <c r="O58" s="38">
        <f t="shared" si="21"/>
        <v>21281.714122094905</v>
      </c>
      <c r="P58" s="38">
        <f t="shared" si="4"/>
        <v>-49310.624999999993</v>
      </c>
      <c r="Q58" s="5">
        <f t="shared" si="5"/>
        <v>1.9573154237997639</v>
      </c>
      <c r="R58" s="5">
        <f t="shared" si="6"/>
        <v>-2.4570237541125504E-2</v>
      </c>
      <c r="S58" s="5">
        <f t="shared" si="7"/>
        <v>0.39331726709533948</v>
      </c>
      <c r="T58" s="5">
        <f t="shared" si="8"/>
        <v>2.5351841947945553</v>
      </c>
      <c r="U58" s="5">
        <f t="shared" si="9"/>
        <v>5.90494734375</v>
      </c>
      <c r="V58" s="5">
        <f t="shared" si="10"/>
        <v>10.766193991898533</v>
      </c>
      <c r="W58" s="5">
        <f t="shared" si="11"/>
        <v>-33.935755871738188</v>
      </c>
      <c r="X58" s="5">
        <f t="shared" si="22"/>
        <v>0.7954741379310345</v>
      </c>
      <c r="Y58" s="5">
        <f t="shared" si="23"/>
        <v>8.564228884503768</v>
      </c>
      <c r="Z58" s="5">
        <f t="shared" si="12"/>
        <v>-26.995016147108977</v>
      </c>
    </row>
    <row r="59" spans="2:26" x14ac:dyDescent="0.3">
      <c r="B59" s="5">
        <f t="shared" si="24"/>
        <v>14</v>
      </c>
      <c r="C59" s="37">
        <f t="shared" si="13"/>
        <v>-1.8026785714285718E-3</v>
      </c>
      <c r="D59" s="37">
        <f t="shared" si="0"/>
        <v>-1.0089285714285712E-4</v>
      </c>
      <c r="E59" s="37">
        <f t="shared" si="0"/>
        <v>1.6008928571428567E-3</v>
      </c>
      <c r="F59" s="37">
        <f t="shared" si="0"/>
        <v>3.302678571428571E-3</v>
      </c>
      <c r="G59" s="38">
        <f t="shared" si="14"/>
        <v>-3605.3571428571436</v>
      </c>
      <c r="H59" s="38">
        <f t="shared" si="15"/>
        <v>-201.78571428571425</v>
      </c>
      <c r="I59" s="38">
        <f t="shared" si="16"/>
        <v>3201.7857142857133</v>
      </c>
      <c r="J59" s="38">
        <f t="shared" si="17"/>
        <v>4200</v>
      </c>
      <c r="K59" s="11">
        <f t="shared" si="2"/>
        <v>11.9</v>
      </c>
      <c r="L59" s="38">
        <f t="shared" si="18"/>
        <v>-17364.14144084397</v>
      </c>
      <c r="M59" s="38">
        <f t="shared" si="19"/>
        <v>-511.23165301801106</v>
      </c>
      <c r="N59" s="38">
        <f t="shared" si="20"/>
        <v>8111.8438394804753</v>
      </c>
      <c r="O59" s="38">
        <f t="shared" si="21"/>
        <v>21281.714122094905</v>
      </c>
      <c r="P59" s="38">
        <f t="shared" si="4"/>
        <v>-53103.75</v>
      </c>
      <c r="Q59" s="5">
        <f t="shared" si="5"/>
        <v>2.068503349140538</v>
      </c>
      <c r="R59" s="5">
        <f t="shared" si="6"/>
        <v>2.0300156888590187E-2</v>
      </c>
      <c r="S59" s="5">
        <f t="shared" si="7"/>
        <v>0.32210779912603704</v>
      </c>
      <c r="T59" s="5">
        <f t="shared" si="8"/>
        <v>2.5351841947945553</v>
      </c>
      <c r="U59" s="5">
        <f t="shared" si="9"/>
        <v>6.1334831249999997</v>
      </c>
      <c r="V59" s="5">
        <f t="shared" si="10"/>
        <v>11.07957862494972</v>
      </c>
      <c r="W59" s="5">
        <f t="shared" si="11"/>
        <v>-41.585565132286604</v>
      </c>
      <c r="X59" s="5">
        <f t="shared" si="22"/>
        <v>0.75367918719211824</v>
      </c>
      <c r="Y59" s="5">
        <f t="shared" si="23"/>
        <v>8.3504478124832726</v>
      </c>
      <c r="Z59" s="5">
        <f t="shared" si="12"/>
        <v>-31.342174927826662</v>
      </c>
    </row>
    <row r="60" spans="2:26" x14ac:dyDescent="0.3">
      <c r="B60" s="5">
        <f t="shared" si="24"/>
        <v>15</v>
      </c>
      <c r="C60" s="37">
        <f t="shared" si="13"/>
        <v>-1.8825000000000003E-3</v>
      </c>
      <c r="D60" s="37">
        <f t="shared" si="0"/>
        <v>-2.9416666666666664E-4</v>
      </c>
      <c r="E60" s="37">
        <f t="shared" si="0"/>
        <v>1.2941666666666663E-3</v>
      </c>
      <c r="F60" s="37">
        <f t="shared" si="0"/>
        <v>2.8824999999999992E-3</v>
      </c>
      <c r="G60" s="38">
        <f t="shared" si="14"/>
        <v>-3765.0000000000005</v>
      </c>
      <c r="H60" s="38">
        <f t="shared" si="15"/>
        <v>-588.33333333333326</v>
      </c>
      <c r="I60" s="38">
        <f t="shared" si="16"/>
        <v>2588.3333333333326</v>
      </c>
      <c r="J60" s="38">
        <f t="shared" si="17"/>
        <v>4200</v>
      </c>
      <c r="K60" s="11">
        <f t="shared" si="2"/>
        <v>12.75</v>
      </c>
      <c r="L60" s="38">
        <f t="shared" si="18"/>
        <v>-18173.063737831759</v>
      </c>
      <c r="M60" s="38">
        <f t="shared" si="19"/>
        <v>-1490.5645010118058</v>
      </c>
      <c r="N60" s="38">
        <f t="shared" si="20"/>
        <v>6557.6392919867822</v>
      </c>
      <c r="O60" s="38">
        <f t="shared" si="21"/>
        <v>21281.714122094905</v>
      </c>
      <c r="P60" s="38">
        <f t="shared" si="4"/>
        <v>-56896.875</v>
      </c>
      <c r="Q60" s="5">
        <f t="shared" si="5"/>
        <v>2.1648662177692084</v>
      </c>
      <c r="R60" s="5">
        <f t="shared" si="6"/>
        <v>5.9187832061010449E-2</v>
      </c>
      <c r="S60" s="5">
        <f t="shared" si="7"/>
        <v>0.26039292688597504</v>
      </c>
      <c r="T60" s="5">
        <f t="shared" si="8"/>
        <v>2.5351841947945553</v>
      </c>
      <c r="U60" s="5">
        <f t="shared" si="9"/>
        <v>6.32977734375</v>
      </c>
      <c r="V60" s="5">
        <f t="shared" si="10"/>
        <v>11.349408515260748</v>
      </c>
      <c r="W60" s="5">
        <f t="shared" si="11"/>
        <v>-48.721149824761874</v>
      </c>
      <c r="X60" s="5">
        <f t="shared" si="22"/>
        <v>0.71745689655172407</v>
      </c>
      <c r="Y60" s="5">
        <f t="shared" si="23"/>
        <v>8.1427114110566876</v>
      </c>
      <c r="Z60" s="5">
        <f t="shared" si="12"/>
        <v>-34.955324949705229</v>
      </c>
    </row>
    <row r="61" spans="2:26" x14ac:dyDescent="0.3">
      <c r="B61" s="5">
        <f t="shared" si="24"/>
        <v>16</v>
      </c>
      <c r="C61" s="37">
        <f t="shared" si="13"/>
        <v>-1.9523437500000003E-3</v>
      </c>
      <c r="D61" s="37">
        <f t="shared" si="0"/>
        <v>-4.6328124999999999E-4</v>
      </c>
      <c r="E61" s="37">
        <f t="shared" si="0"/>
        <v>1.0257812499999996E-3</v>
      </c>
      <c r="F61" s="37">
        <f t="shared" si="0"/>
        <v>2.5148437499999997E-3</v>
      </c>
      <c r="G61" s="38">
        <f t="shared" si="14"/>
        <v>-3904.6875000000005</v>
      </c>
      <c r="H61" s="38">
        <f t="shared" si="15"/>
        <v>-926.5625</v>
      </c>
      <c r="I61" s="38">
        <f t="shared" si="16"/>
        <v>2051.5624999999991</v>
      </c>
      <c r="J61" s="38">
        <f t="shared" si="17"/>
        <v>4200</v>
      </c>
      <c r="K61" s="11">
        <f t="shared" si="2"/>
        <v>13.6</v>
      </c>
      <c r="L61" s="38">
        <f t="shared" si="18"/>
        <v>-18880.870747696077</v>
      </c>
      <c r="M61" s="38">
        <f t="shared" si="19"/>
        <v>-1895.2443179118598</v>
      </c>
      <c r="N61" s="38">
        <f t="shared" si="20"/>
        <v>5197.7103129297993</v>
      </c>
      <c r="O61" s="38">
        <f t="shared" si="21"/>
        <v>21281.714122094905</v>
      </c>
      <c r="P61" s="38">
        <f t="shared" si="4"/>
        <v>-60690</v>
      </c>
      <c r="Q61" s="5">
        <f t="shared" si="5"/>
        <v>2.2491837278192954</v>
      </c>
      <c r="R61" s="5">
        <f t="shared" si="6"/>
        <v>7.5256993123750102E-2</v>
      </c>
      <c r="S61" s="5">
        <f t="shared" si="7"/>
        <v>0.20639241367592068</v>
      </c>
      <c r="T61" s="5">
        <f t="shared" si="8"/>
        <v>2.5351841947945553</v>
      </c>
      <c r="U61" s="5">
        <f t="shared" si="9"/>
        <v>6.49383</v>
      </c>
      <c r="V61" s="5">
        <f t="shared" si="10"/>
        <v>11.559847329413522</v>
      </c>
      <c r="W61" s="5">
        <f t="shared" si="11"/>
        <v>-54.986690630583233</v>
      </c>
      <c r="X61" s="5">
        <f t="shared" si="22"/>
        <v>0.68576239224137936</v>
      </c>
      <c r="Y61" s="5">
        <f t="shared" si="23"/>
        <v>7.9273085585637375</v>
      </c>
      <c r="Z61" s="5">
        <f t="shared" si="12"/>
        <v>-37.707804508265397</v>
      </c>
    </row>
    <row r="62" spans="2:26" x14ac:dyDescent="0.3">
      <c r="B62" s="5">
        <f t="shared" si="24"/>
        <v>17</v>
      </c>
      <c r="C62" s="37">
        <f t="shared" si="13"/>
        <v>-2.0139705882352942E-3</v>
      </c>
      <c r="D62" s="37">
        <f t="shared" si="13"/>
        <v>-6.1249999999999998E-4</v>
      </c>
      <c r="E62" s="37">
        <f t="shared" si="13"/>
        <v>7.8897058823529376E-4</v>
      </c>
      <c r="F62" s="37">
        <f t="shared" si="13"/>
        <v>2.1904411764705877E-3</v>
      </c>
      <c r="G62" s="38">
        <f t="shared" si="14"/>
        <v>-4027.9411764705883</v>
      </c>
      <c r="H62" s="38">
        <f t="shared" si="15"/>
        <v>-1225</v>
      </c>
      <c r="I62" s="38">
        <f t="shared" si="16"/>
        <v>1577.9411764705876</v>
      </c>
      <c r="J62" s="38">
        <f t="shared" si="17"/>
        <v>4200</v>
      </c>
      <c r="K62" s="11">
        <f t="shared" si="2"/>
        <v>14.45</v>
      </c>
      <c r="L62" s="38">
        <f t="shared" si="18"/>
        <v>-19505.406344635176</v>
      </c>
      <c r="M62" s="38">
        <f t="shared" si="19"/>
        <v>-2651.3468843776573</v>
      </c>
      <c r="N62" s="38">
        <f t="shared" si="20"/>
        <v>3997.7729784677567</v>
      </c>
      <c r="O62" s="38">
        <f t="shared" si="21"/>
        <v>21281.714122094905</v>
      </c>
      <c r="P62" s="38">
        <f t="shared" si="4"/>
        <v>-64483.124999999993</v>
      </c>
      <c r="Q62" s="5">
        <f t="shared" si="5"/>
        <v>2.3235815308046655</v>
      </c>
      <c r="R62" s="5">
        <f t="shared" si="6"/>
        <v>0.10528056586716281</v>
      </c>
      <c r="S62" s="5">
        <f t="shared" si="7"/>
        <v>0.15874490201999042</v>
      </c>
      <c r="T62" s="5">
        <f t="shared" si="8"/>
        <v>2.5351841947945553</v>
      </c>
      <c r="U62" s="5">
        <f t="shared" si="9"/>
        <v>6.6256410937499997</v>
      </c>
      <c r="V62" s="5">
        <f t="shared" si="10"/>
        <v>11.748432287236373</v>
      </c>
      <c r="W62" s="5">
        <f t="shared" si="11"/>
        <v>-61.360391128450168</v>
      </c>
      <c r="X62" s="5">
        <f t="shared" si="22"/>
        <v>0.65779665314401625</v>
      </c>
      <c r="Y62" s="5">
        <f t="shared" si="23"/>
        <v>7.7280794382331859</v>
      </c>
      <c r="Z62" s="5">
        <f t="shared" si="12"/>
        <v>-40.362659919902306</v>
      </c>
    </row>
    <row r="63" spans="2:26" x14ac:dyDescent="0.3">
      <c r="B63" s="5">
        <f t="shared" si="24"/>
        <v>18</v>
      </c>
      <c r="C63" s="37">
        <f t="shared" si="13"/>
        <v>-2.0687500000000003E-3</v>
      </c>
      <c r="D63" s="37">
        <f t="shared" si="13"/>
        <v>-7.4513888888888883E-4</v>
      </c>
      <c r="E63" s="37">
        <f t="shared" si="13"/>
        <v>5.7847222222222197E-4</v>
      </c>
      <c r="F63" s="37">
        <f t="shared" si="13"/>
        <v>1.9020833333333331E-3</v>
      </c>
      <c r="G63" s="38">
        <f t="shared" si="14"/>
        <v>-4137.5000000000009</v>
      </c>
      <c r="H63" s="38">
        <f t="shared" si="15"/>
        <v>-1490.2777777777776</v>
      </c>
      <c r="I63" s="38">
        <f t="shared" si="16"/>
        <v>1156.9444444444439</v>
      </c>
      <c r="J63" s="38">
        <f t="shared" si="17"/>
        <v>3804.1666666666661</v>
      </c>
      <c r="K63" s="11">
        <f t="shared" si="2"/>
        <v>15.299999999999999</v>
      </c>
      <c r="L63" s="38">
        <f t="shared" si="18"/>
        <v>-20060.549097469939</v>
      </c>
      <c r="M63" s="38">
        <f t="shared" si="19"/>
        <v>-3323.4380545694767</v>
      </c>
      <c r="N63" s="38">
        <f t="shared" si="20"/>
        <v>2931.1620145014963</v>
      </c>
      <c r="O63" s="38">
        <f t="shared" si="21"/>
        <v>19275.997017333975</v>
      </c>
      <c r="P63" s="38">
        <f t="shared" si="4"/>
        <v>-68276.25</v>
      </c>
      <c r="Q63" s="5">
        <f t="shared" si="5"/>
        <v>2.3897129112361064</v>
      </c>
      <c r="R63" s="5">
        <f t="shared" si="6"/>
        <v>0.13196818608352964</v>
      </c>
      <c r="S63" s="5">
        <f t="shared" si="7"/>
        <v>0.11639155832583019</v>
      </c>
      <c r="T63" s="5">
        <f t="shared" si="8"/>
        <v>2.2962531446899095</v>
      </c>
      <c r="U63" s="5">
        <f t="shared" si="9"/>
        <v>6.7252106250000008</v>
      </c>
      <c r="V63" s="5">
        <f t="shared" si="10"/>
        <v>11.659536425335377</v>
      </c>
      <c r="W63" s="5">
        <f t="shared" si="11"/>
        <v>-69.453078120203955</v>
      </c>
      <c r="X63" s="5">
        <f t="shared" si="22"/>
        <v>0.65</v>
      </c>
      <c r="Y63" s="5">
        <f t="shared" si="23"/>
        <v>7.5786986764679956</v>
      </c>
      <c r="Z63" s="5">
        <f t="shared" si="12"/>
        <v>-45.144500778132574</v>
      </c>
    </row>
    <row r="64" spans="2:26" x14ac:dyDescent="0.3">
      <c r="B64" s="5">
        <f t="shared" si="24"/>
        <v>19</v>
      </c>
      <c r="C64" s="37">
        <f t="shared" si="13"/>
        <v>-2.1177631578947372E-3</v>
      </c>
      <c r="D64" s="37">
        <f t="shared" si="13"/>
        <v>-8.6381578947368422E-4</v>
      </c>
      <c r="E64" s="37">
        <f t="shared" si="13"/>
        <v>3.9013157894736812E-4</v>
      </c>
      <c r="F64" s="37">
        <f t="shared" si="13"/>
        <v>1.6440789473684207E-3</v>
      </c>
      <c r="G64" s="38">
        <f t="shared" si="14"/>
        <v>-4200</v>
      </c>
      <c r="H64" s="38">
        <f t="shared" si="15"/>
        <v>-1727.6315789473683</v>
      </c>
      <c r="I64" s="38">
        <f t="shared" si="16"/>
        <v>780.2631578947362</v>
      </c>
      <c r="J64" s="38">
        <f t="shared" si="17"/>
        <v>3288.1578947368412</v>
      </c>
      <c r="K64" s="11">
        <f t="shared" si="2"/>
        <v>16.149999999999999</v>
      </c>
      <c r="L64" s="38">
        <f t="shared" si="18"/>
        <v>-20377.24127190587</v>
      </c>
      <c r="M64" s="38">
        <f t="shared" si="19"/>
        <v>-3924.7827857937373</v>
      </c>
      <c r="N64" s="38">
        <f t="shared" si="20"/>
        <v>1976.8258888474732</v>
      </c>
      <c r="O64" s="38">
        <f t="shared" si="21"/>
        <v>16661.341977166401</v>
      </c>
      <c r="P64" s="38">
        <f t="shared" si="4"/>
        <v>-72069.374999999985</v>
      </c>
      <c r="Q64" s="5">
        <f t="shared" si="5"/>
        <v>2.4274388665157871</v>
      </c>
      <c r="R64" s="5">
        <f t="shared" si="6"/>
        <v>0.15584658311922631</v>
      </c>
      <c r="S64" s="5">
        <f t="shared" si="7"/>
        <v>7.8496461336318379E-2</v>
      </c>
      <c r="T64" s="5">
        <f t="shared" si="8"/>
        <v>1.9847823630299473</v>
      </c>
      <c r="U64" s="5">
        <f t="shared" si="9"/>
        <v>6.7925385937499989</v>
      </c>
      <c r="V64" s="5">
        <f t="shared" si="10"/>
        <v>11.439102867751277</v>
      </c>
      <c r="W64" s="5">
        <f t="shared" si="11"/>
        <v>-77.733231191685718</v>
      </c>
      <c r="X64" s="5">
        <f t="shared" si="22"/>
        <v>0.65</v>
      </c>
      <c r="Y64" s="5">
        <f>V64*X64</f>
        <v>7.4354168640383307</v>
      </c>
      <c r="Z64" s="5">
        <f t="shared" si="12"/>
        <v>-50.526600274595715</v>
      </c>
    </row>
    <row r="65" spans="2:26" x14ac:dyDescent="0.3">
      <c r="B65" s="5">
        <f t="shared" si="24"/>
        <v>20</v>
      </c>
      <c r="C65" s="37">
        <f t="shared" si="13"/>
        <v>-2.1618750000000002E-3</v>
      </c>
      <c r="D65" s="37">
        <f t="shared" si="13"/>
        <v>-9.7062499999999992E-4</v>
      </c>
      <c r="E65" s="37">
        <f t="shared" si="13"/>
        <v>2.2062499999999974E-4</v>
      </c>
      <c r="F65" s="37">
        <f t="shared" si="13"/>
        <v>1.4118749999999997E-3</v>
      </c>
      <c r="G65" s="38">
        <f t="shared" si="14"/>
        <v>-4200</v>
      </c>
      <c r="H65" s="38">
        <f t="shared" si="15"/>
        <v>-1941.2499999999998</v>
      </c>
      <c r="I65" s="38">
        <f t="shared" si="16"/>
        <v>441.24999999999949</v>
      </c>
      <c r="J65" s="38">
        <f t="shared" si="17"/>
        <v>2823.7499999999995</v>
      </c>
      <c r="K65" s="11">
        <f t="shared" si="2"/>
        <v>17</v>
      </c>
      <c r="L65" s="38">
        <f t="shared" si="18"/>
        <v>-20377.24127190587</v>
      </c>
      <c r="M65" s="38">
        <f t="shared" si="19"/>
        <v>-4465.9930438955707</v>
      </c>
      <c r="N65" s="38">
        <f t="shared" si="20"/>
        <v>1117.9233757588531</v>
      </c>
      <c r="O65" s="38">
        <f t="shared" si="21"/>
        <v>14308.152441015591</v>
      </c>
      <c r="P65" s="38">
        <f t="shared" si="4"/>
        <v>-75862.5</v>
      </c>
      <c r="Q65" s="5">
        <f t="shared" si="5"/>
        <v>2.4274388665157871</v>
      </c>
      <c r="R65" s="5">
        <f t="shared" si="6"/>
        <v>0.17733714045135329</v>
      </c>
      <c r="S65" s="5">
        <f t="shared" si="7"/>
        <v>4.4390874045757776E-2</v>
      </c>
      <c r="T65" s="5">
        <f t="shared" si="8"/>
        <v>1.7044586595359821</v>
      </c>
      <c r="U65" s="5">
        <f t="shared" si="9"/>
        <v>6.8276250000000003</v>
      </c>
      <c r="V65" s="5">
        <f t="shared" si="10"/>
        <v>11.181250540548881</v>
      </c>
      <c r="W65" s="5">
        <f t="shared" si="11"/>
        <v>-85.279658499026993</v>
      </c>
      <c r="X65" s="5">
        <f t="shared" si="22"/>
        <v>0.65</v>
      </c>
      <c r="Y65" s="5">
        <f t="shared" si="23"/>
        <v>7.2678128513567728</v>
      </c>
      <c r="Z65" s="5">
        <f t="shared" si="12"/>
        <v>-55.431778024367546</v>
      </c>
    </row>
    <row r="66" spans="2:26" x14ac:dyDescent="0.3">
      <c r="B66" s="5">
        <f t="shared" si="24"/>
        <v>21</v>
      </c>
      <c r="C66" s="37">
        <f t="shared" si="13"/>
        <v>-2.2017857142857147E-3</v>
      </c>
      <c r="D66" s="37">
        <f t="shared" si="13"/>
        <v>-1.0672619047619046E-3</v>
      </c>
      <c r="E66" s="37">
        <f t="shared" si="13"/>
        <v>6.7261904761904494E-5</v>
      </c>
      <c r="F66" s="37">
        <f t="shared" si="13"/>
        <v>1.2017857142857138E-3</v>
      </c>
      <c r="G66" s="38">
        <f t="shared" si="14"/>
        <v>-4200</v>
      </c>
      <c r="H66" s="38">
        <f t="shared" si="15"/>
        <v>-2134.5238095238092</v>
      </c>
      <c r="I66" s="38">
        <f t="shared" si="16"/>
        <v>134.52380952380898</v>
      </c>
      <c r="J66" s="38">
        <f t="shared" si="17"/>
        <v>2403.5714285714275</v>
      </c>
      <c r="K66" s="11">
        <f t="shared" si="2"/>
        <v>17.849999999999998</v>
      </c>
      <c r="L66" s="38">
        <f t="shared" si="18"/>
        <v>-20377.24127190587</v>
      </c>
      <c r="M66" s="38">
        <f t="shared" si="19"/>
        <v>-4955.6594678924675</v>
      </c>
      <c r="N66" s="38">
        <f t="shared" si="20"/>
        <v>340.82110201200607</v>
      </c>
      <c r="O66" s="38">
        <f t="shared" si="21"/>
        <v>12179.076194021995</v>
      </c>
      <c r="P66" s="38">
        <f t="shared" si="4"/>
        <v>-79655.624999999985</v>
      </c>
      <c r="Q66" s="5">
        <f t="shared" si="5"/>
        <v>2.4274388665157871</v>
      </c>
      <c r="R66" s="5">
        <f t="shared" si="6"/>
        <v>0.19678097803756339</v>
      </c>
      <c r="S66" s="5">
        <f t="shared" si="7"/>
        <v>1.3533437925726735E-2</v>
      </c>
      <c r="T66" s="5">
        <f t="shared" si="8"/>
        <v>1.4508324516128699</v>
      </c>
      <c r="U66" s="5">
        <f t="shared" si="9"/>
        <v>6.8304698437500004</v>
      </c>
      <c r="V66" s="5">
        <f t="shared" si="10"/>
        <v>10.919055577841947</v>
      </c>
      <c r="W66" s="5">
        <f t="shared" si="11"/>
        <v>-92.468628443764317</v>
      </c>
      <c r="X66" s="5">
        <f t="shared" si="22"/>
        <v>0.65</v>
      </c>
      <c r="Y66" s="5">
        <f t="shared" si="23"/>
        <v>7.0973861255972661</v>
      </c>
      <c r="Z66" s="5">
        <f t="shared" si="12"/>
        <v>-60.104608488446807</v>
      </c>
    </row>
    <row r="67" spans="2:26" x14ac:dyDescent="0.3">
      <c r="B67" s="5">
        <f t="shared" si="24"/>
        <v>22</v>
      </c>
      <c r="C67" s="37">
        <f t="shared" si="13"/>
        <v>-2.2380681818181818E-3</v>
      </c>
      <c r="D67" s="37">
        <f t="shared" si="13"/>
        <v>-1.1551136363636364E-3</v>
      </c>
      <c r="E67" s="37">
        <f t="shared" si="13"/>
        <v>-7.2159090909091166E-5</v>
      </c>
      <c r="F67" s="37">
        <f t="shared" si="13"/>
        <v>1.0107954545454543E-3</v>
      </c>
      <c r="G67" s="38">
        <f t="shared" si="14"/>
        <v>-4200</v>
      </c>
      <c r="H67" s="38">
        <f t="shared" si="15"/>
        <v>-2310.227272727273</v>
      </c>
      <c r="I67" s="38">
        <f t="shared" si="16"/>
        <v>-144.31818181818232</v>
      </c>
      <c r="J67" s="38">
        <f t="shared" si="17"/>
        <v>2021.5909090909086</v>
      </c>
      <c r="K67" s="11">
        <f t="shared" si="2"/>
        <v>18.7</v>
      </c>
      <c r="L67" s="38">
        <f t="shared" si="18"/>
        <v>-20377.24127190587</v>
      </c>
      <c r="M67" s="38">
        <f t="shared" si="19"/>
        <v>-5400.8107624351032</v>
      </c>
      <c r="N67" s="38">
        <f t="shared" si="20"/>
        <v>-365.6355104851275</v>
      </c>
      <c r="O67" s="38">
        <f t="shared" si="21"/>
        <v>10243.552333118731</v>
      </c>
      <c r="P67" s="38">
        <f t="shared" si="4"/>
        <v>-83448.75</v>
      </c>
      <c r="Q67" s="5">
        <f t="shared" si="5"/>
        <v>2.4274388665157871</v>
      </c>
      <c r="R67" s="5">
        <f t="shared" si="6"/>
        <v>0.21445719402502719</v>
      </c>
      <c r="S67" s="5">
        <f t="shared" si="7"/>
        <v>-1.4518776728846931E-2</v>
      </c>
      <c r="T67" s="5">
        <f t="shared" si="8"/>
        <v>1.2202631716827685</v>
      </c>
      <c r="U67" s="5">
        <f t="shared" si="9"/>
        <v>6.8010731250000003</v>
      </c>
      <c r="V67" s="5">
        <f t="shared" si="10"/>
        <v>10.648713580494736</v>
      </c>
      <c r="W67" s="5">
        <f t="shared" si="11"/>
        <v>-99.348885211707369</v>
      </c>
      <c r="X67" s="5">
        <f t="shared" si="22"/>
        <v>0.65</v>
      </c>
      <c r="Y67" s="5">
        <f t="shared" si="23"/>
        <v>6.921663827321578</v>
      </c>
      <c r="Z67" s="5">
        <f t="shared" si="12"/>
        <v>-64.576775387609786</v>
      </c>
    </row>
    <row r="68" spans="2:26" x14ac:dyDescent="0.3">
      <c r="B68" s="5">
        <f t="shared" si="24"/>
        <v>23</v>
      </c>
      <c r="C68" s="37">
        <f>$C$12*(C$33-$B68)/$B68</f>
        <v>-2.2711956521739131E-3</v>
      </c>
      <c r="D68" s="37">
        <f t="shared" ref="D68:F80" si="25">$C$12*(D$33-$B68)/$B68</f>
        <v>-1.2353260869565218E-3</v>
      </c>
      <c r="E68" s="37">
        <f t="shared" si="25"/>
        <v>-1.9945652173913067E-4</v>
      </c>
      <c r="F68" s="37">
        <f t="shared" si="25"/>
        <v>8.3641304347826064E-4</v>
      </c>
      <c r="G68" s="38">
        <f t="shared" si="14"/>
        <v>-4200</v>
      </c>
      <c r="H68" s="38">
        <f t="shared" si="15"/>
        <v>-2470.6521739130435</v>
      </c>
      <c r="I68" s="38">
        <f t="shared" si="16"/>
        <v>-398.91304347826133</v>
      </c>
      <c r="J68" s="38">
        <f t="shared" si="17"/>
        <v>1672.8260869565213</v>
      </c>
      <c r="K68" s="11">
        <f t="shared" si="2"/>
        <v>19.55</v>
      </c>
      <c r="L68" s="38">
        <f t="shared" si="18"/>
        <v>-20377.24127190587</v>
      </c>
      <c r="M68" s="38">
        <f t="shared" si="19"/>
        <v>-5807.2532487566377</v>
      </c>
      <c r="N68" s="38">
        <f t="shared" si="20"/>
        <v>-1010.6611131999016</v>
      </c>
      <c r="O68" s="38">
        <f t="shared" si="21"/>
        <v>8476.3348949027059</v>
      </c>
      <c r="P68" s="38">
        <f t="shared" si="4"/>
        <v>-87241.875</v>
      </c>
      <c r="Q68" s="5">
        <f t="shared" si="5"/>
        <v>2.4274388665157871</v>
      </c>
      <c r="R68" s="5">
        <f t="shared" si="6"/>
        <v>0.23059634775271148</v>
      </c>
      <c r="S68" s="5">
        <f t="shared" si="7"/>
        <v>-4.0131668369979404E-2</v>
      </c>
      <c r="T68" s="5">
        <f t="shared" si="8"/>
        <v>1.0097433943552847</v>
      </c>
      <c r="U68" s="5">
        <f t="shared" si="9"/>
        <v>6.7394348437499998</v>
      </c>
      <c r="V68" s="5">
        <f t="shared" si="10"/>
        <v>10.367081784003803</v>
      </c>
      <c r="W68" s="5">
        <f t="shared" si="11"/>
        <v>-105.96069573895971</v>
      </c>
      <c r="X68" s="5">
        <f t="shared" si="22"/>
        <v>0.65</v>
      </c>
      <c r="Y68" s="5">
        <f t="shared" si="23"/>
        <v>6.738603159602472</v>
      </c>
      <c r="Z68" s="5">
        <f t="shared" si="12"/>
        <v>-68.874452230323811</v>
      </c>
    </row>
    <row r="69" spans="2:26" x14ac:dyDescent="0.3">
      <c r="B69" s="5">
        <f t="shared" si="24"/>
        <v>24</v>
      </c>
      <c r="C69" s="37">
        <f t="shared" si="13"/>
        <v>-2.3015625000000002E-3</v>
      </c>
      <c r="D69" s="37">
        <f t="shared" si="25"/>
        <v>-1.3088541666666667E-3</v>
      </c>
      <c r="E69" s="37">
        <f t="shared" si="25"/>
        <v>-3.1614583333333359E-4</v>
      </c>
      <c r="F69" s="37">
        <f t="shared" si="25"/>
        <v>6.7656249999999976E-4</v>
      </c>
      <c r="G69" s="38">
        <f t="shared" si="14"/>
        <v>-4200</v>
      </c>
      <c r="H69" s="38">
        <f t="shared" si="15"/>
        <v>-2617.7083333333335</v>
      </c>
      <c r="I69" s="38">
        <f t="shared" si="16"/>
        <v>-632.2916666666672</v>
      </c>
      <c r="J69" s="38">
        <f t="shared" si="17"/>
        <v>1353.1249999999995</v>
      </c>
      <c r="K69" s="11">
        <f t="shared" si="2"/>
        <v>20.399999999999999</v>
      </c>
      <c r="L69" s="38">
        <f t="shared" si="18"/>
        <v>-20377.24127190587</v>
      </c>
      <c r="M69" s="38">
        <f t="shared" si="19"/>
        <v>-6179.8255278847128</v>
      </c>
      <c r="N69" s="38">
        <f t="shared" si="20"/>
        <v>-1601.9345823551116</v>
      </c>
      <c r="O69" s="38">
        <f t="shared" si="21"/>
        <v>6856.3855765380149</v>
      </c>
      <c r="P69" s="38">
        <f t="shared" si="4"/>
        <v>-91034.999999999985</v>
      </c>
      <c r="Q69" s="5">
        <f t="shared" si="5"/>
        <v>2.4274388665157871</v>
      </c>
      <c r="R69" s="5">
        <f t="shared" si="6"/>
        <v>0.24539057200308878</v>
      </c>
      <c r="S69" s="5">
        <f t="shared" si="7"/>
        <v>-6.3610152374350859E-2</v>
      </c>
      <c r="T69" s="5">
        <f t="shared" si="8"/>
        <v>0.81676693180509086</v>
      </c>
      <c r="U69" s="5">
        <f t="shared" si="9"/>
        <v>6.6455549999999999</v>
      </c>
      <c r="V69" s="5">
        <f t="shared" si="10"/>
        <v>10.071541217949616</v>
      </c>
      <c r="W69" s="5">
        <f t="shared" si="11"/>
        <v>-112.33761580560767</v>
      </c>
      <c r="X69" s="5">
        <f t="shared" si="22"/>
        <v>0.65</v>
      </c>
      <c r="Y69" s="5">
        <f t="shared" si="23"/>
        <v>6.5465017916672501</v>
      </c>
      <c r="Z69" s="5">
        <f t="shared" si="12"/>
        <v>-73.019450273644992</v>
      </c>
    </row>
    <row r="70" spans="2:26" x14ac:dyDescent="0.3">
      <c r="B70" s="5">
        <f t="shared" si="24"/>
        <v>25</v>
      </c>
      <c r="C70" s="37">
        <f t="shared" ref="C70:C80" si="26">$C$12*(C$33-$B70)/$B70</f>
        <v>-2.3295E-3</v>
      </c>
      <c r="D70" s="37">
        <f t="shared" si="25"/>
        <v>-1.3764999999999999E-3</v>
      </c>
      <c r="E70" s="37">
        <f t="shared" si="25"/>
        <v>-4.2350000000000027E-4</v>
      </c>
      <c r="F70" s="37">
        <f t="shared" si="25"/>
        <v>5.2949999999999981E-4</v>
      </c>
      <c r="G70" s="38">
        <f t="shared" si="14"/>
        <v>-4200</v>
      </c>
      <c r="H70" s="38">
        <f t="shared" si="15"/>
        <v>-2753</v>
      </c>
      <c r="I70" s="38">
        <f t="shared" si="16"/>
        <v>-847.00000000000057</v>
      </c>
      <c r="J70" s="38">
        <f t="shared" si="17"/>
        <v>1058.9999999999995</v>
      </c>
      <c r="K70" s="11">
        <f t="shared" si="2"/>
        <v>21.25</v>
      </c>
      <c r="L70" s="38">
        <f t="shared" si="18"/>
        <v>-20377.24127190587</v>
      </c>
      <c r="M70" s="38">
        <f t="shared" si="19"/>
        <v>-6522.5920246825408</v>
      </c>
      <c r="N70" s="38">
        <f t="shared" si="20"/>
        <v>-2145.9061739779045</v>
      </c>
      <c r="O70" s="38">
        <f t="shared" si="21"/>
        <v>5366.0322036424996</v>
      </c>
      <c r="P70" s="38">
        <f t="shared" si="4"/>
        <v>-94828.125</v>
      </c>
      <c r="Q70" s="5">
        <f t="shared" si="5"/>
        <v>2.4274388665157871</v>
      </c>
      <c r="R70" s="5">
        <f t="shared" si="6"/>
        <v>0.2590012583134359</v>
      </c>
      <c r="S70" s="5">
        <f t="shared" si="7"/>
        <v>-8.5210357658372579E-2</v>
      </c>
      <c r="T70" s="5">
        <f t="shared" si="8"/>
        <v>0.63922858625891266</v>
      </c>
      <c r="U70" s="5">
        <f t="shared" si="9"/>
        <v>6.5194335937499996</v>
      </c>
      <c r="V70" s="5">
        <f t="shared" si="10"/>
        <v>9.7598919471797636</v>
      </c>
      <c r="W70" s="5">
        <f t="shared" si="11"/>
        <v>-118.50783226692383</v>
      </c>
      <c r="X70" s="5">
        <f t="shared" si="22"/>
        <v>0.65</v>
      </c>
      <c r="Y70" s="5">
        <f t="shared" si="23"/>
        <v>6.3439297656668465</v>
      </c>
      <c r="Z70" s="5">
        <f t="shared" si="12"/>
        <v>-77.030090973500492</v>
      </c>
    </row>
    <row r="71" spans="2:26" x14ac:dyDescent="0.3">
      <c r="B71" s="5">
        <f t="shared" si="24"/>
        <v>26</v>
      </c>
      <c r="C71" s="37">
        <f t="shared" si="26"/>
        <v>-2.3552884615384616E-3</v>
      </c>
      <c r="D71" s="37">
        <f t="shared" si="25"/>
        <v>-1.4389423076923077E-3</v>
      </c>
      <c r="E71" s="37">
        <f t="shared" si="25"/>
        <v>-5.2259615384615409E-4</v>
      </c>
      <c r="F71" s="37">
        <f t="shared" si="25"/>
        <v>3.9374999999999973E-4</v>
      </c>
      <c r="G71" s="38">
        <f t="shared" si="14"/>
        <v>-4200</v>
      </c>
      <c r="H71" s="38">
        <f t="shared" si="15"/>
        <v>-2877.8846153846157</v>
      </c>
      <c r="I71" s="38">
        <f t="shared" si="16"/>
        <v>-1045.1923076923081</v>
      </c>
      <c r="J71" s="38">
        <f t="shared" si="17"/>
        <v>787.49999999999943</v>
      </c>
      <c r="K71" s="11">
        <f t="shared" si="2"/>
        <v>22.099999999999998</v>
      </c>
      <c r="L71" s="38">
        <f t="shared" si="18"/>
        <v>-20377.24127190587</v>
      </c>
      <c r="M71" s="38">
        <f t="shared" si="19"/>
        <v>-6838.9918678805361</v>
      </c>
      <c r="N71" s="38">
        <f t="shared" si="20"/>
        <v>-2195.7973719198117</v>
      </c>
      <c r="O71" s="38">
        <f t="shared" si="21"/>
        <v>3990.321397892792</v>
      </c>
      <c r="P71" s="38">
        <f t="shared" si="4"/>
        <v>-98621.249999999985</v>
      </c>
      <c r="Q71" s="5">
        <f t="shared" si="5"/>
        <v>2.4274388665157871</v>
      </c>
      <c r="R71" s="5">
        <f t="shared" si="6"/>
        <v>0.2715649687537563</v>
      </c>
      <c r="S71" s="5">
        <f t="shared" si="7"/>
        <v>-8.7191453976649153E-2</v>
      </c>
      <c r="T71" s="5">
        <f t="shared" si="8"/>
        <v>0.47534703652397875</v>
      </c>
      <c r="U71" s="5">
        <f t="shared" si="9"/>
        <v>6.361070625</v>
      </c>
      <c r="V71" s="5">
        <f t="shared" si="10"/>
        <v>9.4482300428168742</v>
      </c>
      <c r="W71" s="5">
        <f t="shared" si="11"/>
        <v>-124.04295911381341</v>
      </c>
      <c r="X71" s="5">
        <f t="shared" si="22"/>
        <v>0.65</v>
      </c>
      <c r="Y71" s="5">
        <f t="shared" si="23"/>
        <v>6.1413495278309682</v>
      </c>
      <c r="Z71" s="5">
        <f t="shared" si="12"/>
        <v>-80.627923423978714</v>
      </c>
    </row>
    <row r="72" spans="2:26" x14ac:dyDescent="0.3">
      <c r="B72" s="5">
        <f t="shared" si="24"/>
        <v>27</v>
      </c>
      <c r="C72" s="37">
        <f t="shared" si="26"/>
        <v>-2.3791666666666666E-3</v>
      </c>
      <c r="D72" s="37">
        <f t="shared" si="25"/>
        <v>-1.4967592592592591E-3</v>
      </c>
      <c r="E72" s="37">
        <f t="shared" si="25"/>
        <v>-6.1435185185185204E-4</v>
      </c>
      <c r="F72" s="37">
        <f t="shared" si="25"/>
        <v>2.6805555555555534E-4</v>
      </c>
      <c r="G72" s="38">
        <f t="shared" si="14"/>
        <v>-4200</v>
      </c>
      <c r="H72" s="38">
        <f t="shared" si="15"/>
        <v>-2993.5185185185182</v>
      </c>
      <c r="I72" s="38">
        <f t="shared" si="16"/>
        <v>-1228.7037037037042</v>
      </c>
      <c r="J72" s="38">
        <f t="shared" si="17"/>
        <v>536.11111111111063</v>
      </c>
      <c r="K72" s="11">
        <f t="shared" si="2"/>
        <v>22.95</v>
      </c>
      <c r="L72" s="38">
        <f t="shared" si="18"/>
        <v>-20377.24127190587</v>
      </c>
      <c r="M72" s="38">
        <f t="shared" si="19"/>
        <v>-7131.9546856564566</v>
      </c>
      <c r="N72" s="38">
        <f t="shared" si="20"/>
        <v>-2660.7303562127972</v>
      </c>
      <c r="O72" s="38">
        <f t="shared" si="21"/>
        <v>2716.5150962726939</v>
      </c>
      <c r="P72" s="38">
        <f t="shared" si="4"/>
        <v>-102414.375</v>
      </c>
      <c r="Q72" s="5">
        <f t="shared" si="5"/>
        <v>2.4274388665157871</v>
      </c>
      <c r="R72" s="5">
        <f t="shared" si="6"/>
        <v>0.28319803397627513</v>
      </c>
      <c r="S72" s="5">
        <f t="shared" si="7"/>
        <v>-0.10565316789461643</v>
      </c>
      <c r="T72" s="5">
        <f t="shared" si="8"/>
        <v>0.32360486084348461</v>
      </c>
      <c r="U72" s="5">
        <f t="shared" si="9"/>
        <v>6.17046609375</v>
      </c>
      <c r="V72" s="5">
        <f t="shared" si="10"/>
        <v>9.0990546871909306</v>
      </c>
      <c r="W72" s="5">
        <f t="shared" si="11"/>
        <v>-129.86778621750244</v>
      </c>
      <c r="X72" s="5">
        <f t="shared" si="22"/>
        <v>0.65</v>
      </c>
      <c r="Y72" s="5">
        <f t="shared" si="23"/>
        <v>5.9143855466741053</v>
      </c>
      <c r="Z72" s="5">
        <f t="shared" si="12"/>
        <v>-84.414061041376584</v>
      </c>
    </row>
    <row r="73" spans="2:26" x14ac:dyDescent="0.3">
      <c r="B73" s="5">
        <f t="shared" si="24"/>
        <v>28</v>
      </c>
      <c r="C73" s="37">
        <f t="shared" si="26"/>
        <v>-2.4013392857142857E-3</v>
      </c>
      <c r="D73" s="37">
        <f t="shared" si="25"/>
        <v>-1.5504464285714286E-3</v>
      </c>
      <c r="E73" s="37">
        <f t="shared" si="25"/>
        <v>-6.9955357142857167E-4</v>
      </c>
      <c r="F73" s="37">
        <f t="shared" si="25"/>
        <v>1.5133928571428549E-4</v>
      </c>
      <c r="G73" s="38">
        <f t="shared" si="14"/>
        <v>-4200</v>
      </c>
      <c r="H73" s="38">
        <f t="shared" si="15"/>
        <v>-3100.8928571428573</v>
      </c>
      <c r="I73" s="38">
        <f t="shared" si="16"/>
        <v>-1399.1071428571433</v>
      </c>
      <c r="J73" s="38">
        <f t="shared" si="17"/>
        <v>302.67857142857099</v>
      </c>
      <c r="K73" s="11">
        <f t="shared" si="2"/>
        <v>23.8</v>
      </c>
      <c r="L73" s="38">
        <f t="shared" si="18"/>
        <v>-20377.24127190587</v>
      </c>
      <c r="M73" s="38">
        <f t="shared" si="19"/>
        <v>-7403.9915878769561</v>
      </c>
      <c r="N73" s="38">
        <f t="shared" si="20"/>
        <v>-3092.4538416277119</v>
      </c>
      <c r="O73" s="38">
        <f t="shared" si="21"/>
        <v>1533.6949590540312</v>
      </c>
      <c r="P73" s="38">
        <f t="shared" si="4"/>
        <v>-106207.5</v>
      </c>
      <c r="Q73" s="5">
        <f t="shared" si="5"/>
        <v>2.4274388665157871</v>
      </c>
      <c r="R73" s="5">
        <f t="shared" si="6"/>
        <v>0.29400016596861411</v>
      </c>
      <c r="S73" s="5">
        <f t="shared" si="7"/>
        <v>-0.12279618796130033</v>
      </c>
      <c r="T73" s="5">
        <f t="shared" si="8"/>
        <v>0.18270141199731144</v>
      </c>
      <c r="U73" s="5">
        <f t="shared" si="9"/>
        <v>5.9476199999999997</v>
      </c>
      <c r="V73" s="5">
        <f t="shared" si="10"/>
        <v>8.7289642565204115</v>
      </c>
      <c r="W73" s="5">
        <f t="shared" si="11"/>
        <v>-135.5474917423565</v>
      </c>
      <c r="X73" s="5">
        <f t="shared" si="22"/>
        <v>0.65</v>
      </c>
      <c r="Y73" s="5">
        <f t="shared" si="23"/>
        <v>5.6738267667382676</v>
      </c>
      <c r="Z73" s="5">
        <f t="shared" si="12"/>
        <v>-88.105869632531721</v>
      </c>
    </row>
    <row r="74" spans="2:26" x14ac:dyDescent="0.3">
      <c r="B74" s="5">
        <f t="shared" si="24"/>
        <v>29</v>
      </c>
      <c r="C74" s="37">
        <f t="shared" si="26"/>
        <v>-2.4219827586206897E-3</v>
      </c>
      <c r="D74" s="37">
        <f t="shared" si="25"/>
        <v>-1.6004310344827587E-3</v>
      </c>
      <c r="E74" s="37">
        <f t="shared" si="25"/>
        <v>-7.7887931034482786E-4</v>
      </c>
      <c r="F74" s="37">
        <f t="shared" si="25"/>
        <v>4.2672413793103231E-5</v>
      </c>
      <c r="G74" s="38">
        <f t="shared" si="14"/>
        <v>-4200</v>
      </c>
      <c r="H74" s="38">
        <f t="shared" si="15"/>
        <v>-3200.8620689655172</v>
      </c>
      <c r="I74" s="38">
        <f t="shared" si="16"/>
        <v>-1557.7586206896558</v>
      </c>
      <c r="J74" s="38">
        <f t="shared" si="17"/>
        <v>85.344827586206463</v>
      </c>
      <c r="K74" s="11">
        <f t="shared" si="2"/>
        <v>24.65</v>
      </c>
      <c r="L74" s="38">
        <f t="shared" si="18"/>
        <v>-20377.24127190587</v>
      </c>
      <c r="M74" s="38">
        <f t="shared" si="19"/>
        <v>-7657.2673244270754</v>
      </c>
      <c r="N74" s="38">
        <f t="shared" si="20"/>
        <v>-3494.4032935657369</v>
      </c>
      <c r="O74" s="38">
        <f t="shared" si="21"/>
        <v>432.44862440217264</v>
      </c>
      <c r="P74" s="38">
        <f t="shared" si="4"/>
        <v>-110000.62499999999</v>
      </c>
      <c r="Q74" s="5">
        <f t="shared" si="5"/>
        <v>2.4274388665157871</v>
      </c>
      <c r="R74" s="5">
        <f t="shared" si="6"/>
        <v>0.30405732334079177</v>
      </c>
      <c r="S74" s="5">
        <f t="shared" si="7"/>
        <v>-0.13875693078200607</v>
      </c>
      <c r="T74" s="5">
        <f t="shared" si="8"/>
        <v>5.1515442381908805E-2</v>
      </c>
      <c r="U74" s="5">
        <f t="shared" si="9"/>
        <v>5.6925323437499999</v>
      </c>
      <c r="V74" s="5">
        <f t="shared" si="10"/>
        <v>8.3367870452064814</v>
      </c>
      <c r="W74" s="5">
        <f t="shared" si="11"/>
        <v>-141.09708826549652</v>
      </c>
      <c r="X74" s="5">
        <f t="shared" si="22"/>
        <v>0.65</v>
      </c>
      <c r="Y74" s="5">
        <f t="shared" si="23"/>
        <v>5.4189115793842131</v>
      </c>
      <c r="Z74" s="5">
        <f t="shared" si="12"/>
        <v>-91.71310737257275</v>
      </c>
    </row>
    <row r="75" spans="2:26" x14ac:dyDescent="0.3">
      <c r="B75" s="5">
        <f t="shared" si="24"/>
        <v>30</v>
      </c>
      <c r="C75" s="37">
        <f t="shared" si="26"/>
        <v>-2.4412500000000003E-3</v>
      </c>
      <c r="D75" s="37">
        <f t="shared" si="25"/>
        <v>-1.6470833333333333E-3</v>
      </c>
      <c r="E75" s="37">
        <f t="shared" si="25"/>
        <v>-8.5291666666666686E-4</v>
      </c>
      <c r="F75" s="37">
        <f t="shared" si="25"/>
        <v>-5.8750000000000215E-5</v>
      </c>
      <c r="G75" s="38">
        <f t="shared" si="14"/>
        <v>-4200</v>
      </c>
      <c r="H75" s="38">
        <f t="shared" si="15"/>
        <v>-3294.1666666666665</v>
      </c>
      <c r="I75" s="38">
        <f t="shared" si="16"/>
        <v>-1705.8333333333337</v>
      </c>
      <c r="J75" s="38">
        <f t="shared" si="17"/>
        <v>-117.50000000000043</v>
      </c>
      <c r="K75" s="11">
        <f t="shared" si="2"/>
        <v>25.5</v>
      </c>
      <c r="L75" s="38">
        <f t="shared" si="18"/>
        <v>-20377.24127190587</v>
      </c>
      <c r="M75" s="38">
        <f t="shared" si="19"/>
        <v>-7893.658011873852</v>
      </c>
      <c r="N75" s="38">
        <f t="shared" si="20"/>
        <v>-3869.5561153745593</v>
      </c>
      <c r="O75" s="38">
        <f t="shared" si="21"/>
        <v>-595.38128793956207</v>
      </c>
      <c r="P75" s="38">
        <f t="shared" si="4"/>
        <v>-113793.75</v>
      </c>
      <c r="Q75" s="5">
        <f t="shared" si="5"/>
        <v>2.4274388665157871</v>
      </c>
      <c r="R75" s="5">
        <f t="shared" si="6"/>
        <v>0.31344400355482421</v>
      </c>
      <c r="S75" s="5">
        <f t="shared" si="7"/>
        <v>-0.15365362408133137</v>
      </c>
      <c r="T75" s="5">
        <f t="shared" si="8"/>
        <v>-7.0924795925800324E-2</v>
      </c>
      <c r="U75" s="5">
        <f t="shared" si="9"/>
        <v>5.4052031249999999</v>
      </c>
      <c r="V75" s="5">
        <f t="shared" si="10"/>
        <v>7.9215075750634796</v>
      </c>
      <c r="W75" s="5">
        <f t="shared" si="11"/>
        <v>-146.52958668709383</v>
      </c>
      <c r="X75" s="5">
        <f t="shared" si="22"/>
        <v>0.65</v>
      </c>
      <c r="Y75" s="5">
        <f t="shared" si="23"/>
        <v>5.1489799237912619</v>
      </c>
      <c r="Z75" s="5">
        <f t="shared" si="12"/>
        <v>-95.244231346610988</v>
      </c>
    </row>
    <row r="76" spans="2:26" x14ac:dyDescent="0.3">
      <c r="B76" s="5">
        <f t="shared" si="24"/>
        <v>31</v>
      </c>
      <c r="C76" s="37">
        <f t="shared" si="26"/>
        <v>-2.459274193548387E-3</v>
      </c>
      <c r="D76" s="37">
        <f t="shared" si="25"/>
        <v>-1.6907258064516126E-3</v>
      </c>
      <c r="E76" s="37">
        <f t="shared" si="25"/>
        <v>-9.2217741935483888E-4</v>
      </c>
      <c r="F76" s="37">
        <f t="shared" si="25"/>
        <v>-1.5362903225806472E-4</v>
      </c>
      <c r="G76" s="38">
        <f t="shared" si="14"/>
        <v>-4200</v>
      </c>
      <c r="H76" s="38">
        <f t="shared" si="15"/>
        <v>-3381.4516129032254</v>
      </c>
      <c r="I76" s="38">
        <f t="shared" si="16"/>
        <v>-1844.3548387096778</v>
      </c>
      <c r="J76" s="38">
        <f t="shared" si="17"/>
        <v>-307.25806451612942</v>
      </c>
      <c r="K76" s="11">
        <f t="shared" si="2"/>
        <v>26.349999999999998</v>
      </c>
      <c r="L76" s="38">
        <f t="shared" si="18"/>
        <v>-20377.24127190587</v>
      </c>
      <c r="M76" s="38">
        <f t="shared" si="19"/>
        <v>-8114.7976872272893</v>
      </c>
      <c r="N76" s="38">
        <f t="shared" si="20"/>
        <v>-4220.5055293247478</v>
      </c>
      <c r="O76" s="38">
        <f t="shared" si="21"/>
        <v>-1556.8995930334427</v>
      </c>
      <c r="P76" s="38">
        <f t="shared" si="4"/>
        <v>-117586.87499999999</v>
      </c>
      <c r="Q76" s="5">
        <f t="shared" si="5"/>
        <v>2.4274388665157871</v>
      </c>
      <c r="R76" s="5">
        <f t="shared" si="6"/>
        <v>0.32222509149698358</v>
      </c>
      <c r="S76" s="5">
        <f t="shared" si="7"/>
        <v>-0.16758924039360343</v>
      </c>
      <c r="T76" s="5">
        <f t="shared" si="8"/>
        <v>-0.18546566402010881</v>
      </c>
      <c r="U76" s="5">
        <f t="shared" si="9"/>
        <v>5.0856323437500004</v>
      </c>
      <c r="V76" s="5">
        <f t="shared" si="10"/>
        <v>7.4822413973490587</v>
      </c>
      <c r="W76" s="5">
        <f t="shared" si="11"/>
        <v>-151.85631908149134</v>
      </c>
      <c r="X76" s="5">
        <f t="shared" si="22"/>
        <v>0.65</v>
      </c>
      <c r="Y76" s="5">
        <f t="shared" si="23"/>
        <v>4.8634569082768886</v>
      </c>
      <c r="Z76" s="5">
        <f t="shared" si="12"/>
        <v>-98.706607402969368</v>
      </c>
    </row>
    <row r="77" spans="2:26" x14ac:dyDescent="0.3">
      <c r="B77" s="5">
        <f t="shared" si="24"/>
        <v>32</v>
      </c>
      <c r="C77" s="37">
        <f t="shared" si="26"/>
        <v>-2.4761718750000001E-3</v>
      </c>
      <c r="D77" s="37">
        <f t="shared" si="25"/>
        <v>-1.7316406249999999E-3</v>
      </c>
      <c r="E77" s="37">
        <f t="shared" si="25"/>
        <v>-9.8710937500000014E-4</v>
      </c>
      <c r="F77" s="37">
        <f t="shared" si="25"/>
        <v>-2.425781250000002E-4</v>
      </c>
      <c r="G77" s="38">
        <f t="shared" si="14"/>
        <v>-4200</v>
      </c>
      <c r="H77" s="38">
        <f t="shared" si="15"/>
        <v>-3463.28125</v>
      </c>
      <c r="I77" s="38">
        <f t="shared" si="16"/>
        <v>-1974.2187500000002</v>
      </c>
      <c r="J77" s="38">
        <f t="shared" si="17"/>
        <v>-485.1562500000004</v>
      </c>
      <c r="K77" s="11">
        <f t="shared" si="2"/>
        <v>27.2</v>
      </c>
      <c r="L77" s="38">
        <f t="shared" si="18"/>
        <v>-20377.24127190587</v>
      </c>
      <c r="M77" s="38">
        <f t="shared" si="19"/>
        <v>-8322.1161328711369</v>
      </c>
      <c r="N77" s="38">
        <f t="shared" si="20"/>
        <v>-4549.5206049030503</v>
      </c>
      <c r="O77" s="38">
        <f t="shared" si="21"/>
        <v>-2458.323004058956</v>
      </c>
      <c r="P77" s="38">
        <f t="shared" si="4"/>
        <v>-121380</v>
      </c>
      <c r="Q77" s="5">
        <f t="shared" si="5"/>
        <v>2.4274388665157871</v>
      </c>
      <c r="R77" s="5">
        <f t="shared" si="6"/>
        <v>0.33045736144275806</v>
      </c>
      <c r="S77" s="5">
        <f t="shared" si="7"/>
        <v>-0.18065388068635854</v>
      </c>
      <c r="T77" s="5">
        <f t="shared" si="8"/>
        <v>-0.29284772785852309</v>
      </c>
      <c r="U77" s="5">
        <f t="shared" si="9"/>
        <v>4.7338200000000006</v>
      </c>
      <c r="V77" s="5">
        <f t="shared" si="10"/>
        <v>7.0182146194136639</v>
      </c>
      <c r="W77" s="5">
        <f t="shared" si="11"/>
        <v>-157.08720101373902</v>
      </c>
      <c r="X77" s="5">
        <f t="shared" si="22"/>
        <v>0.65</v>
      </c>
      <c r="Y77" s="5">
        <f t="shared" si="23"/>
        <v>4.5618395026188816</v>
      </c>
      <c r="Z77" s="5">
        <f t="shared" si="12"/>
        <v>-102.10668065893037</v>
      </c>
    </row>
    <row r="78" spans="2:26" x14ac:dyDescent="0.3">
      <c r="B78" s="5">
        <f t="shared" si="24"/>
        <v>33</v>
      </c>
      <c r="C78" s="37">
        <f t="shared" si="26"/>
        <v>-2.4920454545454547E-3</v>
      </c>
      <c r="D78" s="37">
        <f t="shared" si="25"/>
        <v>-1.7700757575757574E-3</v>
      </c>
      <c r="E78" s="37">
        <f t="shared" si="25"/>
        <v>-1.0481060606060608E-3</v>
      </c>
      <c r="F78" s="37">
        <f t="shared" si="25"/>
        <v>-3.2613636363636384E-4</v>
      </c>
      <c r="G78" s="38">
        <f t="shared" si="14"/>
        <v>-4200</v>
      </c>
      <c r="H78" s="38">
        <f t="shared" si="15"/>
        <v>-3540.151515151515</v>
      </c>
      <c r="I78" s="38">
        <f t="shared" si="16"/>
        <v>-2096.2121212121215</v>
      </c>
      <c r="J78" s="38">
        <f t="shared" si="17"/>
        <v>-652.27272727272771</v>
      </c>
      <c r="K78" s="11">
        <f t="shared" si="2"/>
        <v>28.05</v>
      </c>
      <c r="L78" s="38">
        <f t="shared" si="18"/>
        <v>-20377.24127190587</v>
      </c>
      <c r="M78" s="38">
        <f t="shared" si="19"/>
        <v>-8516.8698242335395</v>
      </c>
      <c r="N78" s="38">
        <f t="shared" si="20"/>
        <v>-4858.5953728705463</v>
      </c>
      <c r="O78" s="38">
        <f t="shared" si="21"/>
        <v>-3305.1146932041356</v>
      </c>
      <c r="P78" s="38">
        <f t="shared" si="4"/>
        <v>-125173.125</v>
      </c>
      <c r="Q78" s="5">
        <f t="shared" si="5"/>
        <v>2.4274388665157871</v>
      </c>
      <c r="R78" s="5">
        <f t="shared" si="6"/>
        <v>0.33819070593727346</v>
      </c>
      <c r="S78" s="5">
        <f t="shared" si="7"/>
        <v>-0.19292672459773449</v>
      </c>
      <c r="T78" s="5">
        <f t="shared" si="8"/>
        <v>-0.39372178782794259</v>
      </c>
      <c r="U78" s="5">
        <f t="shared" si="9"/>
        <v>4.3497660937499996</v>
      </c>
      <c r="V78" s="5">
        <f t="shared" si="10"/>
        <v>6.5287471537773829</v>
      </c>
      <c r="W78" s="5">
        <f t="shared" si="11"/>
        <v>-162.23094616221408</v>
      </c>
      <c r="X78" s="5">
        <f t="shared" si="22"/>
        <v>0.65</v>
      </c>
      <c r="Y78" s="5">
        <f t="shared" si="23"/>
        <v>4.2436856499552986</v>
      </c>
      <c r="Z78" s="5">
        <f t="shared" si="12"/>
        <v>-105.45011500543916</v>
      </c>
    </row>
    <row r="79" spans="2:26" x14ac:dyDescent="0.3">
      <c r="B79" s="5">
        <f t="shared" si="24"/>
        <v>34</v>
      </c>
      <c r="C79" s="37">
        <f t="shared" si="26"/>
        <v>-2.5069852941176471E-3</v>
      </c>
      <c r="D79" s="37">
        <f t="shared" si="25"/>
        <v>-1.8062499999999999E-3</v>
      </c>
      <c r="E79" s="37">
        <f t="shared" si="25"/>
        <v>-1.1055147058823532E-3</v>
      </c>
      <c r="F79" s="37">
        <f t="shared" si="25"/>
        <v>-4.0477941176470612E-4</v>
      </c>
      <c r="G79" s="38">
        <f t="shared" si="14"/>
        <v>-4200</v>
      </c>
      <c r="H79" s="38">
        <f t="shared" si="15"/>
        <v>-3612.5</v>
      </c>
      <c r="I79" s="38">
        <f t="shared" si="16"/>
        <v>-2211.0294117647063</v>
      </c>
      <c r="J79" s="38">
        <f t="shared" si="17"/>
        <v>-809.55882352941228</v>
      </c>
      <c r="K79" s="11">
        <f t="shared" si="2"/>
        <v>28.9</v>
      </c>
      <c r="L79" s="38">
        <f t="shared" si="18"/>
        <v>-20377.24127190587</v>
      </c>
      <c r="M79" s="38">
        <f t="shared" si="19"/>
        <v>-8700.1674161040355</v>
      </c>
      <c r="N79" s="38">
        <f t="shared" si="20"/>
        <v>-5149.4892721340721</v>
      </c>
      <c r="O79" s="38">
        <f t="shared" si="21"/>
        <v>-4102.0951065172458</v>
      </c>
      <c r="P79" s="38">
        <f t="shared" si="4"/>
        <v>-128966.24999999999</v>
      </c>
      <c r="Q79" s="5">
        <f t="shared" si="5"/>
        <v>2.4274388665157871</v>
      </c>
      <c r="R79" s="5">
        <f t="shared" si="6"/>
        <v>0.34546914781446436</v>
      </c>
      <c r="S79" s="5">
        <f t="shared" si="7"/>
        <v>-0.20447763651432369</v>
      </c>
      <c r="T79" s="5">
        <f t="shared" si="8"/>
        <v>-0.48866207956386681</v>
      </c>
      <c r="U79" s="5">
        <f t="shared" si="9"/>
        <v>3.9334706250000004</v>
      </c>
      <c r="V79" s="5">
        <f t="shared" si="10"/>
        <v>6.0132389232520609</v>
      </c>
      <c r="W79" s="5">
        <f t="shared" si="11"/>
        <v>-167.29524306666121</v>
      </c>
      <c r="X79" s="5">
        <f t="shared" si="22"/>
        <v>0.65</v>
      </c>
      <c r="Y79" s="5">
        <f t="shared" si="23"/>
        <v>3.9086053001138397</v>
      </c>
      <c r="Z79" s="5">
        <f t="shared" si="12"/>
        <v>-108.74190799332979</v>
      </c>
    </row>
    <row r="80" spans="2:26" x14ac:dyDescent="0.3">
      <c r="B80" s="5">
        <f t="shared" si="24"/>
        <v>35</v>
      </c>
      <c r="C80" s="37">
        <f t="shared" si="26"/>
        <v>-2.5210714285714289E-3</v>
      </c>
      <c r="D80" s="37">
        <f t="shared" si="25"/>
        <v>-1.8403571428571427E-3</v>
      </c>
      <c r="E80" s="37">
        <f t="shared" si="25"/>
        <v>-1.1596428571428574E-3</v>
      </c>
      <c r="F80" s="37">
        <f t="shared" si="25"/>
        <v>-4.7892857142857161E-4</v>
      </c>
      <c r="G80" s="38">
        <f t="shared" si="14"/>
        <v>-4200</v>
      </c>
      <c r="H80" s="38">
        <f t="shared" si="15"/>
        <v>-3680.7142857142853</v>
      </c>
      <c r="I80" s="38">
        <f t="shared" si="16"/>
        <v>-2319.2857142857147</v>
      </c>
      <c r="J80" s="38">
        <f t="shared" si="17"/>
        <v>-957.85714285714323</v>
      </c>
      <c r="K80" s="11">
        <f t="shared" si="2"/>
        <v>29.75</v>
      </c>
      <c r="L80" s="38">
        <f t="shared" si="18"/>
        <v>-20377.24127190587</v>
      </c>
      <c r="M80" s="38">
        <f t="shared" si="19"/>
        <v>-8872.9908598676466</v>
      </c>
      <c r="N80" s="38">
        <f t="shared" si="20"/>
        <v>-5423.7606628682533</v>
      </c>
      <c r="O80" s="38">
        <f t="shared" si="21"/>
        <v>-3949.0609317377152</v>
      </c>
      <c r="P80" s="38">
        <f t="shared" si="4"/>
        <v>-132759.375</v>
      </c>
      <c r="Q80" s="5">
        <f t="shared" si="5"/>
        <v>2.4274388665157871</v>
      </c>
      <c r="R80" s="5">
        <f t="shared" si="6"/>
        <v>0.35233167872724441</v>
      </c>
      <c r="S80" s="5">
        <f t="shared" si="7"/>
        <v>-0.21536849632139346</v>
      </c>
      <c r="T80" s="5">
        <f t="shared" si="8"/>
        <v>-0.47043188349325521</v>
      </c>
      <c r="U80" s="5">
        <f t="shared" si="9"/>
        <v>3.4849335937500001</v>
      </c>
      <c r="V80" s="5">
        <f t="shared" si="10"/>
        <v>5.5789037591783828</v>
      </c>
      <c r="W80" s="5">
        <f t="shared" si="11"/>
        <v>-171.38242872637949</v>
      </c>
      <c r="X80" s="5">
        <f t="shared" si="22"/>
        <v>0.65</v>
      </c>
      <c r="Y80" s="5">
        <f t="shared" si="23"/>
        <v>3.6262874434659489</v>
      </c>
      <c r="Z80" s="5">
        <f t="shared" si="12"/>
        <v>-111.39857867214667</v>
      </c>
    </row>
    <row r="81" spans="2:26" x14ac:dyDescent="0.3">
      <c r="B81" s="5"/>
      <c r="V81" s="11">
        <v>0</v>
      </c>
      <c r="W81" s="11">
        <f>-(0.85*$C$4*(C8*C9-SUM(C32:F32))+SUM(C32:F32)*C6)/1000</f>
        <v>-217.31922381571761</v>
      </c>
      <c r="X81" s="5">
        <v>0.65</v>
      </c>
      <c r="Y81" s="5">
        <f>V81*X81</f>
        <v>0</v>
      </c>
      <c r="Z81" s="5">
        <f>W81*X81</f>
        <v>-141.25749548021645</v>
      </c>
    </row>
  </sheetData>
  <mergeCells count="5">
    <mergeCell ref="B1:T1"/>
    <mergeCell ref="AJ1:AM1"/>
    <mergeCell ref="N3:S3"/>
    <mergeCell ref="AJ4:AM4"/>
    <mergeCell ref="K17:M17"/>
  </mergeCells>
  <dataValidations disablePrompts="1" count="1">
    <dataValidation type="list" allowBlank="1" showInputMessage="1" showErrorMessage="1" sqref="O6 O8 O10 R12 R6 R8 R10 O12 L19" xr:uid="{286CBF7C-9D7C-4258-8D00-D7A18614D021}">
      <formula1>$AJ$7:$AJ$16</formula1>
    </dataValidation>
  </dataValidations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AM85"/>
  <sheetViews>
    <sheetView tabSelected="1" topLeftCell="A12" zoomScaleNormal="100" workbookViewId="0">
      <selection activeCell="X25" sqref="X25"/>
    </sheetView>
  </sheetViews>
  <sheetFormatPr defaultColWidth="9.6640625" defaultRowHeight="13.8" x14ac:dyDescent="0.3"/>
  <cols>
    <col min="1" max="1" width="3" style="11" customWidth="1"/>
    <col min="2" max="5" width="7.6640625" style="11" customWidth="1"/>
    <col min="6" max="8" width="9.6640625" style="11"/>
    <col min="9" max="19" width="7.6640625" style="11" customWidth="1"/>
    <col min="20" max="20" width="9.6640625" style="11"/>
    <col min="21" max="21" width="9.88671875" style="11" bestFit="1" customWidth="1"/>
    <col min="22" max="22" width="11" style="11" bestFit="1" customWidth="1"/>
    <col min="23" max="23" width="9.6640625" style="11"/>
    <col min="24" max="24" width="9.6640625" style="11" customWidth="1"/>
    <col min="25" max="16384" width="9.6640625" style="11"/>
  </cols>
  <sheetData>
    <row r="1" spans="2:39" ht="36.6" x14ac:dyDescent="0.3">
      <c r="B1" s="56" t="s">
        <v>72</v>
      </c>
      <c r="C1" s="56"/>
      <c r="D1" s="56"/>
      <c r="E1" s="56"/>
      <c r="F1" s="56"/>
      <c r="G1" s="56"/>
      <c r="H1" s="56"/>
      <c r="I1" s="5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  <c r="AJ1" s="57" t="s">
        <v>54</v>
      </c>
      <c r="AK1" s="57"/>
      <c r="AL1" s="57"/>
      <c r="AM1" s="57"/>
    </row>
    <row r="2" spans="2:39" x14ac:dyDescent="0.3">
      <c r="B2" s="43" t="s">
        <v>73</v>
      </c>
      <c r="E2" s="13"/>
      <c r="AJ2" s="14"/>
      <c r="AK2" s="14"/>
      <c r="AL2" s="14"/>
      <c r="AM2" s="14"/>
    </row>
    <row r="3" spans="2:39" x14ac:dyDescent="0.3">
      <c r="E3" s="13"/>
      <c r="N3" s="58" t="s">
        <v>74</v>
      </c>
      <c r="O3" s="59"/>
      <c r="P3" s="59"/>
      <c r="Q3" s="59"/>
      <c r="R3" s="59"/>
      <c r="S3" s="60"/>
      <c r="AJ3" s="14"/>
      <c r="AK3" s="14"/>
      <c r="AL3" s="14"/>
      <c r="AM3" s="14"/>
    </row>
    <row r="4" spans="2:39" x14ac:dyDescent="0.3">
      <c r="B4" s="15" t="s">
        <v>26</v>
      </c>
      <c r="C4" s="48">
        <v>210</v>
      </c>
      <c r="D4" s="13" t="s">
        <v>24</v>
      </c>
      <c r="E4" s="13" t="s">
        <v>86</v>
      </c>
      <c r="N4" s="14" t="s">
        <v>71</v>
      </c>
      <c r="O4" s="16" t="s">
        <v>21</v>
      </c>
      <c r="P4" s="14"/>
      <c r="Q4" s="14" t="s">
        <v>71</v>
      </c>
      <c r="R4" s="16" t="s">
        <v>21</v>
      </c>
      <c r="S4" s="14"/>
      <c r="AJ4" s="57" t="s">
        <v>55</v>
      </c>
      <c r="AK4" s="57"/>
      <c r="AL4" s="57"/>
      <c r="AM4" s="57"/>
    </row>
    <row r="5" spans="2:39" x14ac:dyDescent="0.3">
      <c r="B5" s="15" t="s">
        <v>27</v>
      </c>
      <c r="C5" s="48">
        <v>0.85</v>
      </c>
      <c r="D5" s="13"/>
      <c r="E5" s="13"/>
      <c r="N5" s="17"/>
      <c r="O5" s="17"/>
      <c r="P5" s="18"/>
      <c r="Q5" s="17"/>
      <c r="R5" s="17"/>
      <c r="S5" s="18"/>
      <c r="AJ5" s="14" t="s">
        <v>56</v>
      </c>
      <c r="AK5" s="14" t="s">
        <v>57</v>
      </c>
      <c r="AL5" s="14" t="s">
        <v>57</v>
      </c>
      <c r="AM5" s="14" t="s">
        <v>58</v>
      </c>
    </row>
    <row r="6" spans="2:39" x14ac:dyDescent="0.3">
      <c r="B6" s="15" t="s">
        <v>28</v>
      </c>
      <c r="C6" s="48">
        <v>4200</v>
      </c>
      <c r="D6" s="13" t="s">
        <v>24</v>
      </c>
      <c r="E6" s="13" t="s">
        <v>87</v>
      </c>
      <c r="N6" s="6">
        <v>2</v>
      </c>
      <c r="O6" s="6">
        <v>4</v>
      </c>
      <c r="P6" s="7" t="str">
        <f>LOOKUP(O6,$AJ$7:$AJ$16,$AK$7:$AK$16)</f>
        <v>1/2"</v>
      </c>
      <c r="Q6" s="49">
        <v>2</v>
      </c>
      <c r="R6" s="49">
        <v>4</v>
      </c>
      <c r="S6" s="50" t="str">
        <f>LOOKUP(R6,$AJ$7:$AJ$16,$AK$7:$AK$16)</f>
        <v>1/2"</v>
      </c>
      <c r="AJ6" s="14"/>
      <c r="AK6" s="14" t="s">
        <v>70</v>
      </c>
      <c r="AL6" s="14" t="s">
        <v>25</v>
      </c>
      <c r="AM6" s="14" t="s">
        <v>59</v>
      </c>
    </row>
    <row r="7" spans="2:39" x14ac:dyDescent="0.3">
      <c r="B7" s="15" t="s">
        <v>29</v>
      </c>
      <c r="C7" s="48">
        <v>2000000</v>
      </c>
      <c r="D7" s="13" t="s">
        <v>24</v>
      </c>
      <c r="E7" s="13" t="s">
        <v>85</v>
      </c>
      <c r="N7" s="8"/>
      <c r="O7" s="4">
        <f>IF(N6=0,0,LOOKUP(O6,$AJ$7:$AJ$16,$AL$7:$AL$16))</f>
        <v>1.27</v>
      </c>
      <c r="P7" s="3">
        <f>IF(N6=0,0,LOOKUP(O6,$AJ$7:$AJ$16,$AM$7:$AM$16))</f>
        <v>1.2667686977437445</v>
      </c>
      <c r="Q7" s="4"/>
      <c r="R7" s="4">
        <f>IF(Q6=0,0,LOOKUP(R6,$AJ$7:$AJ$16,$AL$7:$AL$16))</f>
        <v>1.27</v>
      </c>
      <c r="S7" s="3">
        <f>IF(Q6=0,0,LOOKUP(R6,$AJ$7:$AJ$16,$AM$7:$AM$16))</f>
        <v>1.2667686977437445</v>
      </c>
      <c r="AJ7" s="14">
        <v>2</v>
      </c>
      <c r="AK7" s="14" t="s">
        <v>60</v>
      </c>
      <c r="AL7" s="14">
        <v>0.8</v>
      </c>
      <c r="AM7" s="14">
        <v>0.50265482457436694</v>
      </c>
    </row>
    <row r="8" spans="2:39" x14ac:dyDescent="0.3">
      <c r="B8" s="15" t="s">
        <v>30</v>
      </c>
      <c r="C8" s="48">
        <v>25</v>
      </c>
      <c r="D8" s="13" t="s">
        <v>25</v>
      </c>
      <c r="E8" s="13" t="s">
        <v>37</v>
      </c>
      <c r="N8" s="6">
        <v>1</v>
      </c>
      <c r="O8" s="6">
        <v>4</v>
      </c>
      <c r="P8" s="7" t="str">
        <f>LOOKUP(O8,$AJ$7:$AJ$16,$AK$7:$AK$16)</f>
        <v>1/2"</v>
      </c>
      <c r="Q8" s="49">
        <v>1</v>
      </c>
      <c r="R8" s="49">
        <v>4</v>
      </c>
      <c r="S8" s="50" t="str">
        <f>LOOKUP(R8,$AJ$7:$AJ$16,$AK$7:$AK$16)</f>
        <v>1/2"</v>
      </c>
      <c r="W8" s="20" t="s">
        <v>92</v>
      </c>
      <c r="AJ8" s="14">
        <v>3</v>
      </c>
      <c r="AK8" s="14" t="s">
        <v>61</v>
      </c>
      <c r="AL8" s="14">
        <v>0.95250000000000001</v>
      </c>
      <c r="AM8" s="14">
        <v>0.71255739248085614</v>
      </c>
    </row>
    <row r="9" spans="2:39" x14ac:dyDescent="0.3">
      <c r="B9" s="15" t="s">
        <v>31</v>
      </c>
      <c r="C9" s="48">
        <v>35</v>
      </c>
      <c r="D9" s="13" t="s">
        <v>25</v>
      </c>
      <c r="E9" s="13" t="s">
        <v>36</v>
      </c>
      <c r="N9" s="8"/>
      <c r="O9" s="4">
        <f>IF(N8=0,0,LOOKUP(O8,$AJ$7:$AJ$16,$AL$7:$AL$16))</f>
        <v>1.27</v>
      </c>
      <c r="P9" s="3">
        <f>IF(N8=0,0,LOOKUP(O8,$AJ$7:$AJ$16,$AM$7:$AM$16))</f>
        <v>1.2667686977437445</v>
      </c>
      <c r="Q9" s="4"/>
      <c r="R9" s="4">
        <f>IF(Q8=0,0,LOOKUP(R8,$AJ$7:$AJ$16,$AL$7:$AL$16))</f>
        <v>1.27</v>
      </c>
      <c r="S9" s="3">
        <f>IF(Q8=0,0,LOOKUP(R8,$AJ$7:$AJ$16,$AM$7:$AM$16))</f>
        <v>1.2667686977437445</v>
      </c>
      <c r="W9" s="20" t="s">
        <v>91</v>
      </c>
      <c r="AJ9" s="14">
        <v>4</v>
      </c>
      <c r="AK9" s="14" t="s">
        <v>62</v>
      </c>
      <c r="AL9" s="14">
        <v>1.27</v>
      </c>
      <c r="AM9" s="14">
        <v>1.2667686977437445</v>
      </c>
    </row>
    <row r="10" spans="2:39" x14ac:dyDescent="0.3">
      <c r="B10" s="15" t="s">
        <v>32</v>
      </c>
      <c r="C10" s="48">
        <v>35</v>
      </c>
      <c r="D10" s="13"/>
      <c r="E10" s="13" t="s">
        <v>38</v>
      </c>
      <c r="N10" s="6">
        <v>1</v>
      </c>
      <c r="O10" s="6">
        <v>4</v>
      </c>
      <c r="P10" s="7" t="str">
        <f>LOOKUP(O10,$AJ$7:$AJ$16,$AK$7:$AK$16)</f>
        <v>1/2"</v>
      </c>
      <c r="Q10" s="49">
        <v>1</v>
      </c>
      <c r="R10" s="49">
        <v>4</v>
      </c>
      <c r="S10" s="50" t="str">
        <f>LOOKUP(R10,$AJ$7:$AJ$16,$AK$7:$AK$16)</f>
        <v>1/2"</v>
      </c>
      <c r="W10" s="20" t="s">
        <v>88</v>
      </c>
      <c r="AJ10" s="14">
        <v>5</v>
      </c>
      <c r="AK10" s="14" t="s">
        <v>63</v>
      </c>
      <c r="AL10" s="14">
        <v>1.5874999999999999</v>
      </c>
      <c r="AM10" s="14">
        <v>1.9793260902246004</v>
      </c>
    </row>
    <row r="11" spans="2:39" x14ac:dyDescent="0.3">
      <c r="B11" s="15" t="s">
        <v>39</v>
      </c>
      <c r="C11" s="47">
        <v>4</v>
      </c>
      <c r="D11" s="13" t="s">
        <v>25</v>
      </c>
      <c r="E11" s="13" t="s">
        <v>40</v>
      </c>
      <c r="N11" s="8"/>
      <c r="O11" s="4">
        <f>IF(N10=0,0,LOOKUP(O10,$AJ$7:$AJ$16,$AL$7:$AL$16))</f>
        <v>1.27</v>
      </c>
      <c r="P11" s="3">
        <f>IF(N10=0,0,LOOKUP(O10,$AJ$7:$AJ$16,$AM$7:$AM$16))</f>
        <v>1.2667686977437445</v>
      </c>
      <c r="Q11" s="4"/>
      <c r="R11" s="4">
        <f>IF(Q10=0,0,LOOKUP(R10,$AJ$7:$AJ$16,$AL$7:$AL$16))</f>
        <v>1.27</v>
      </c>
      <c r="S11" s="3">
        <f>IF(Q10=0,0,LOOKUP(R10,$AJ$7:$AJ$16,$AM$7:$AM$16))</f>
        <v>1.2667686977437445</v>
      </c>
      <c r="W11" s="20" t="s">
        <v>90</v>
      </c>
      <c r="AJ11" s="14">
        <v>6</v>
      </c>
      <c r="AK11" s="14" t="s">
        <v>64</v>
      </c>
      <c r="AL11" s="14">
        <v>1.905</v>
      </c>
      <c r="AM11" s="14">
        <v>2.8502295699234246</v>
      </c>
    </row>
    <row r="12" spans="2:39" x14ac:dyDescent="0.3">
      <c r="B12" s="15" t="s">
        <v>33</v>
      </c>
      <c r="C12" s="48">
        <v>3.0000000000000001E-3</v>
      </c>
      <c r="D12" s="13"/>
      <c r="E12" s="13" t="s">
        <v>101</v>
      </c>
      <c r="N12" s="6">
        <v>1</v>
      </c>
      <c r="O12" s="6">
        <v>4</v>
      </c>
      <c r="P12" s="7" t="str">
        <f>LOOKUP(O12,$AJ$7:$AJ$16,$AK$7:$AK$16)</f>
        <v>1/2"</v>
      </c>
      <c r="Q12" s="49">
        <v>1</v>
      </c>
      <c r="R12" s="49">
        <v>4</v>
      </c>
      <c r="S12" s="50" t="str">
        <f>LOOKUP(R12,$AJ$7:$AJ$16,$AK$7:$AK$16)</f>
        <v>1/2"</v>
      </c>
      <c r="W12" s="20" t="s">
        <v>93</v>
      </c>
      <c r="AJ12" s="14">
        <v>7</v>
      </c>
      <c r="AK12" s="14" t="s">
        <v>65</v>
      </c>
      <c r="AL12" s="14">
        <v>2.2225000000000001</v>
      </c>
      <c r="AM12" s="14">
        <v>3.8794791368402173</v>
      </c>
    </row>
    <row r="13" spans="2:39" x14ac:dyDescent="0.3">
      <c r="B13" s="15" t="s">
        <v>34</v>
      </c>
      <c r="C13" s="11">
        <f>C6/C7</f>
        <v>2.0999999999999999E-3</v>
      </c>
      <c r="D13" s="13"/>
      <c r="E13" s="13" t="s">
        <v>89</v>
      </c>
      <c r="N13" s="8"/>
      <c r="O13" s="4">
        <f>IF(N12=0,0,LOOKUP(O12,$AJ$7:$AJ$16,$AL$7:$AL$16))</f>
        <v>1.27</v>
      </c>
      <c r="P13" s="3">
        <f>IF(N12=0,0,LOOKUP(O12,$AJ$7:$AJ$16,$AM$7:$AM$16))</f>
        <v>1.2667686977437445</v>
      </c>
      <c r="Q13" s="4"/>
      <c r="R13" s="4">
        <f>IF(Q12=0,0,LOOKUP(R12,$AJ$7:$AJ$16,$AL$7:$AL$16))</f>
        <v>1.27</v>
      </c>
      <c r="S13" s="3">
        <f>IF(Q12=0,0,LOOKUP(R12,$AJ$7:$AJ$16,$AM$7:$AM$16))</f>
        <v>1.2667686977437445</v>
      </c>
      <c r="W13" s="20" t="s">
        <v>94</v>
      </c>
      <c r="AJ13" s="14">
        <v>8</v>
      </c>
      <c r="AK13" s="14" t="s">
        <v>66</v>
      </c>
      <c r="AL13" s="14">
        <v>2.54</v>
      </c>
      <c r="AM13" s="14">
        <v>5.0670747909749778</v>
      </c>
    </row>
    <row r="14" spans="2:39" x14ac:dyDescent="0.3">
      <c r="E14" s="13"/>
      <c r="N14" s="9">
        <v>2</v>
      </c>
      <c r="O14" s="9">
        <v>4</v>
      </c>
      <c r="P14" s="10" t="str">
        <f>LOOKUP(O14,$AJ$7:$AJ$16,$AK$7:$AK$16)</f>
        <v>1/2"</v>
      </c>
      <c r="Q14" s="49">
        <v>2</v>
      </c>
      <c r="R14" s="49">
        <v>4</v>
      </c>
      <c r="S14" s="50" t="str">
        <f>LOOKUP(R14,$AJ$7:$AJ$16,$AK$7:$AK$16)</f>
        <v>1/2"</v>
      </c>
      <c r="W14" s="20" t="s">
        <v>95</v>
      </c>
      <c r="AJ14" s="14">
        <v>9</v>
      </c>
      <c r="AK14" s="14" t="s">
        <v>67</v>
      </c>
      <c r="AL14" s="14">
        <v>2.8574999999999999</v>
      </c>
      <c r="AM14" s="14">
        <v>6.4130165323277053</v>
      </c>
    </row>
    <row r="15" spans="2:39" x14ac:dyDescent="0.3">
      <c r="B15" s="43" t="s">
        <v>76</v>
      </c>
      <c r="O15" s="2">
        <f>IF(N14=0,0,LOOKUP(O14,$AJ$7:$AJ$16,$AL$7:$AL$16))</f>
        <v>1.27</v>
      </c>
      <c r="P15" s="2">
        <f>IF(N14=0,0,LOOKUP(O14,$AJ$7:$AJ$16,$AM$7:$AM$16))</f>
        <v>1.2667686977437445</v>
      </c>
      <c r="Q15" s="2"/>
      <c r="R15" s="2">
        <f>IF(Q14=0,0,LOOKUP(R14,$AJ$7:$AJ$16,$AL$7:$AL$16))</f>
        <v>1.27</v>
      </c>
      <c r="S15" s="2">
        <f>IF(Q14=0,0,LOOKUP(R14,$AJ$7:$AJ$16,$AM$7:$AM$16))</f>
        <v>1.2667686977437445</v>
      </c>
      <c r="W15" s="20" t="s">
        <v>96</v>
      </c>
      <c r="AJ15" s="14">
        <v>10</v>
      </c>
      <c r="AK15" s="14" t="s">
        <v>68</v>
      </c>
      <c r="AL15" s="14">
        <v>3.1749999999999998</v>
      </c>
      <c r="AM15" s="14">
        <v>7.9173043608984015</v>
      </c>
    </row>
    <row r="16" spans="2:39" x14ac:dyDescent="0.3">
      <c r="W16" s="20" t="s">
        <v>97</v>
      </c>
      <c r="AJ16" s="14">
        <v>11</v>
      </c>
      <c r="AK16" s="14" t="s">
        <v>69</v>
      </c>
      <c r="AL16" s="14">
        <v>3.4925000000000002</v>
      </c>
      <c r="AM16" s="14">
        <v>9.5799382766870682</v>
      </c>
    </row>
    <row r="17" spans="2:23" x14ac:dyDescent="0.3">
      <c r="B17" s="15" t="s">
        <v>41</v>
      </c>
      <c r="C17" s="19">
        <f>N6*P7+Q6*S7</f>
        <v>5.0670747909749778</v>
      </c>
      <c r="D17" s="20" t="s">
        <v>59</v>
      </c>
      <c r="K17" s="58" t="s">
        <v>75</v>
      </c>
      <c r="L17" s="59"/>
      <c r="M17" s="60"/>
      <c r="W17" s="20" t="s">
        <v>98</v>
      </c>
    </row>
    <row r="18" spans="2:23" x14ac:dyDescent="0.3">
      <c r="B18" s="15" t="s">
        <v>42</v>
      </c>
      <c r="C18" s="19">
        <f>N8*P9+Q8*S9</f>
        <v>2.5335373954874889</v>
      </c>
      <c r="D18" s="20" t="s">
        <v>59</v>
      </c>
      <c r="K18" s="14" t="s">
        <v>71</v>
      </c>
      <c r="L18" s="16" t="s">
        <v>21</v>
      </c>
      <c r="M18" s="14"/>
    </row>
    <row r="19" spans="2:23" x14ac:dyDescent="0.3">
      <c r="B19" s="15" t="s">
        <v>43</v>
      </c>
      <c r="C19" s="19">
        <f>N10*P11+Q10*S11</f>
        <v>2.5335373954874889</v>
      </c>
      <c r="D19" s="20" t="s">
        <v>59</v>
      </c>
      <c r="K19" s="39">
        <v>1</v>
      </c>
      <c r="L19" s="41">
        <v>3</v>
      </c>
      <c r="M19" s="40" t="str">
        <f>LOOKUP(L19,$AJ$7:$AJ$16,$AK$7:$AK$16)</f>
        <v>3/8"</v>
      </c>
    </row>
    <row r="20" spans="2:23" x14ac:dyDescent="0.3">
      <c r="B20" s="15" t="s">
        <v>44</v>
      </c>
      <c r="C20" s="19">
        <f>N12*P13+Q12*S13</f>
        <v>2.5335373954874889</v>
      </c>
      <c r="D20" s="20" t="s">
        <v>59</v>
      </c>
      <c r="K20" s="21"/>
      <c r="L20" s="2">
        <f>IF(K19=0,0,LOOKUP(L19,$AJ$7:$AJ$16,$AL$7:$AL$16))</f>
        <v>0.95250000000000001</v>
      </c>
      <c r="M20" s="2">
        <f>IF(K19=0,0,LOOKUP(L19,$AJ$7:$AJ$16,$AM$7:$AM$16))</f>
        <v>0.71255739248085614</v>
      </c>
    </row>
    <row r="21" spans="2:23" x14ac:dyDescent="0.3">
      <c r="B21" s="15" t="s">
        <v>45</v>
      </c>
      <c r="C21" s="19">
        <f>N14*P15+Q14*S15</f>
        <v>5.0670747909749778</v>
      </c>
      <c r="D21" s="20" t="s">
        <v>59</v>
      </c>
      <c r="E21" s="22"/>
      <c r="F21" s="22"/>
      <c r="G21" s="23"/>
      <c r="K21" s="21"/>
      <c r="L21" s="21"/>
      <c r="M21" s="21"/>
    </row>
    <row r="22" spans="2:23" x14ac:dyDescent="0.3">
      <c r="E22" s="22"/>
      <c r="F22" s="22"/>
      <c r="G22" s="22"/>
    </row>
    <row r="23" spans="2:23" x14ac:dyDescent="0.3">
      <c r="B23" s="42"/>
      <c r="C23" s="42"/>
      <c r="N23" s="22"/>
      <c r="O23" s="22"/>
    </row>
    <row r="24" spans="2:23" x14ac:dyDescent="0.3">
      <c r="B24" s="43" t="s">
        <v>82</v>
      </c>
      <c r="N24" s="24" t="str">
        <f>_xlfn.CONCAT(N6,"Ø",P6," + ",Q6,"Ø",S6)</f>
        <v>2Ø1/2" + 2Ø1/2"</v>
      </c>
      <c r="O24" s="22"/>
    </row>
    <row r="25" spans="2:23" x14ac:dyDescent="0.3">
      <c r="N25" s="24"/>
      <c r="O25" s="22"/>
    </row>
    <row r="26" spans="2:23" x14ac:dyDescent="0.3">
      <c r="B26" s="15" t="s">
        <v>77</v>
      </c>
      <c r="C26" s="5">
        <f>C11+L20+MAX(O7,R7)/2</f>
        <v>5.5874999999999995</v>
      </c>
      <c r="D26" s="13" t="s">
        <v>25</v>
      </c>
      <c r="E26" s="5"/>
      <c r="F26" s="5"/>
      <c r="N26" s="24" t="str">
        <f>_xlfn.CONCAT(N8,"Ø",P8," + ",Q8,"Ø",S8)</f>
        <v>1Ø1/2" + 1Ø1/2"</v>
      </c>
      <c r="O26" s="22"/>
    </row>
    <row r="27" spans="2:23" x14ac:dyDescent="0.3">
      <c r="B27" s="15" t="s">
        <v>78</v>
      </c>
      <c r="C27" s="5">
        <f>C11+L20+O7+MAX(O9,R9)/2+(C9-2*C11-2*L20-MAX(O7,R7)-MAX(O9,R9)-MAX(O11,R11)-MAX(O13,R13)-MAX(O15,R15))/4</f>
        <v>11.543749999999999</v>
      </c>
      <c r="D27" s="13" t="s">
        <v>25</v>
      </c>
      <c r="E27" s="5"/>
      <c r="F27" s="5"/>
      <c r="N27" s="24"/>
      <c r="O27" s="22"/>
    </row>
    <row r="28" spans="2:23" x14ac:dyDescent="0.3">
      <c r="B28" s="15" t="s">
        <v>79</v>
      </c>
      <c r="C28" s="5">
        <f>C11+L20+O7+MAX(O9,R9)+MAX(O9,R9)/2+2*(C9-2*C11-2*L20-MAX(O7,R7)-MAX(O9,R9)-MAX(O11,R11)-MAX(O13,R13)-MAX(O15,R15))/4</f>
        <v>17.5</v>
      </c>
      <c r="D28" s="13" t="s">
        <v>25</v>
      </c>
      <c r="E28" s="5"/>
      <c r="F28" s="5"/>
      <c r="N28" s="24" t="str">
        <f>_xlfn.CONCAT(N10,"Ø",P10," + ",Q10,"Ø",S10)</f>
        <v>1Ø1/2" + 1Ø1/2"</v>
      </c>
      <c r="O28" s="22"/>
    </row>
    <row r="29" spans="2:23" x14ac:dyDescent="0.3">
      <c r="B29" s="15" t="s">
        <v>80</v>
      </c>
      <c r="C29" s="5">
        <f>C11+L20+O7+O9+O11+MAX(O13,R13)/2+3*(C9-2*C11-2*L20-MAX(O7,R7)-MAX(O9,R9)-MAX(O11,R11)-MAX(O13,R13)-MAX(O15,R15))/4</f>
        <v>23.456249999999997</v>
      </c>
      <c r="D29" s="13" t="s">
        <v>25</v>
      </c>
      <c r="E29" s="5"/>
      <c r="F29" s="5"/>
      <c r="N29" s="24"/>
      <c r="O29" s="22"/>
    </row>
    <row r="30" spans="2:23" x14ac:dyDescent="0.3">
      <c r="B30" s="15" t="s">
        <v>81</v>
      </c>
      <c r="C30" s="5">
        <f>C9-C11-L20-MAX(O15,R15)/2</f>
        <v>29.412499999999998</v>
      </c>
      <c r="D30" s="13" t="s">
        <v>25</v>
      </c>
      <c r="E30" s="5"/>
      <c r="F30" s="5"/>
      <c r="I30" s="35" t="str">
        <f>_xlfn.CONCAT(K19,"Ø",M19)</f>
        <v>1Ø3/8"</v>
      </c>
      <c r="N30" s="24" t="str">
        <f>_xlfn.CONCAT(N12,"Ø",P12," + ",Q12,"Ø",S12)</f>
        <v>1Ø1/2" + 1Ø1/2"</v>
      </c>
      <c r="O30" s="22"/>
    </row>
    <row r="31" spans="2:23" x14ac:dyDescent="0.3">
      <c r="N31" s="24"/>
      <c r="O31" s="22"/>
      <c r="W31" s="20" t="s">
        <v>99</v>
      </c>
    </row>
    <row r="32" spans="2:23" x14ac:dyDescent="0.3">
      <c r="B32" s="43" t="s">
        <v>83</v>
      </c>
      <c r="N32" s="24" t="str">
        <f>_xlfn.CONCAT(N14,"Ø",P14," + ",Q14,"Ø",S14)</f>
        <v>2Ø1/2" + 2Ø1/2"</v>
      </c>
      <c r="O32" s="22"/>
      <c r="W32" s="20" t="s">
        <v>100</v>
      </c>
    </row>
    <row r="34" spans="2:30" x14ac:dyDescent="0.3">
      <c r="B34" s="25" t="s">
        <v>2</v>
      </c>
      <c r="C34" s="26">
        <v>1</v>
      </c>
      <c r="D34" s="26">
        <v>2</v>
      </c>
      <c r="E34" s="26">
        <v>3</v>
      </c>
      <c r="F34" s="26">
        <v>4</v>
      </c>
      <c r="G34" s="27">
        <v>5</v>
      </c>
    </row>
    <row r="35" spans="2:30" x14ac:dyDescent="0.3">
      <c r="B35" s="28" t="s">
        <v>0</v>
      </c>
      <c r="C35" s="29">
        <f>+C17</f>
        <v>5.0670747909749778</v>
      </c>
      <c r="D35" s="30">
        <f>+C18</f>
        <v>2.5335373954874889</v>
      </c>
      <c r="E35" s="30">
        <f>+C19</f>
        <v>2.5335373954874889</v>
      </c>
      <c r="F35" s="30">
        <f>+C20</f>
        <v>2.5335373954874889</v>
      </c>
      <c r="G35" s="31">
        <f>+C21</f>
        <v>5.0670747909749778</v>
      </c>
    </row>
    <row r="36" spans="2:30" x14ac:dyDescent="0.3">
      <c r="B36" s="32" t="s">
        <v>1</v>
      </c>
      <c r="C36" s="33">
        <f>C26</f>
        <v>5.5874999999999995</v>
      </c>
      <c r="D36" s="44">
        <f>C27</f>
        <v>11.543749999999999</v>
      </c>
      <c r="E36" s="34">
        <f>C28</f>
        <v>17.5</v>
      </c>
      <c r="F36" s="34">
        <f>C29</f>
        <v>23.456249999999997</v>
      </c>
      <c r="G36" s="45">
        <f>C30</f>
        <v>29.412499999999998</v>
      </c>
      <c r="L36" s="46"/>
    </row>
    <row r="39" spans="2:30" x14ac:dyDescent="0.3">
      <c r="B39" s="43" t="s">
        <v>84</v>
      </c>
    </row>
    <row r="40" spans="2:30" ht="14.4" x14ac:dyDescent="0.3">
      <c r="B40" s="12"/>
    </row>
    <row r="41" spans="2:30" ht="14.4" x14ac:dyDescent="0.3">
      <c r="B41" s="12"/>
    </row>
    <row r="42" spans="2:30" ht="14.4" x14ac:dyDescent="0.3">
      <c r="B42" s="12"/>
    </row>
    <row r="43" spans="2:30" ht="14.4" x14ac:dyDescent="0.3">
      <c r="B43" s="12"/>
    </row>
    <row r="44" spans="2:30" x14ac:dyDescent="0.3">
      <c r="B44" s="15" t="s">
        <v>35</v>
      </c>
      <c r="C44" s="5">
        <f>(C35*C36+D35*D36+E35*E36+F35*F36+G35*G36+C8*C9*C9/2)/(C35+D35+E35+F35+G35+C8*C9)</f>
        <v>17.5</v>
      </c>
      <c r="D44" s="13" t="s">
        <v>25</v>
      </c>
      <c r="F44" s="22"/>
      <c r="G44" s="22"/>
    </row>
    <row r="48" spans="2:30" ht="24" x14ac:dyDescent="0.3">
      <c r="B48" s="36" t="s">
        <v>7</v>
      </c>
      <c r="C48" s="36" t="s">
        <v>3</v>
      </c>
      <c r="D48" s="36" t="s">
        <v>4</v>
      </c>
      <c r="E48" s="36" t="s">
        <v>5</v>
      </c>
      <c r="F48" s="36" t="s">
        <v>46</v>
      </c>
      <c r="G48" s="36" t="s">
        <v>47</v>
      </c>
      <c r="H48" s="36" t="s">
        <v>8</v>
      </c>
      <c r="I48" s="36" t="s">
        <v>9</v>
      </c>
      <c r="J48" s="36" t="s">
        <v>10</v>
      </c>
      <c r="K48" s="36" t="s">
        <v>48</v>
      </c>
      <c r="L48" s="36" t="s">
        <v>49</v>
      </c>
      <c r="M48" s="36" t="s">
        <v>11</v>
      </c>
      <c r="N48" s="36" t="s">
        <v>12</v>
      </c>
      <c r="O48" s="36" t="s">
        <v>13</v>
      </c>
      <c r="P48" s="36" t="s">
        <v>14</v>
      </c>
      <c r="Q48" s="36" t="s">
        <v>50</v>
      </c>
      <c r="R48" s="36" t="s">
        <v>51</v>
      </c>
      <c r="S48" s="36" t="s">
        <v>15</v>
      </c>
      <c r="T48" s="36" t="s">
        <v>17</v>
      </c>
      <c r="U48" s="36" t="s">
        <v>18</v>
      </c>
      <c r="V48" s="36" t="s">
        <v>19</v>
      </c>
      <c r="W48" s="36" t="s">
        <v>52</v>
      </c>
      <c r="X48" s="36" t="s">
        <v>53</v>
      </c>
      <c r="Y48" s="36" t="s">
        <v>20</v>
      </c>
      <c r="Z48" s="36" t="s">
        <v>16</v>
      </c>
      <c r="AA48" s="36" t="s">
        <v>6</v>
      </c>
      <c r="AB48" s="36" t="s">
        <v>21</v>
      </c>
      <c r="AC48" s="36" t="s">
        <v>22</v>
      </c>
      <c r="AD48" s="36" t="s">
        <v>23</v>
      </c>
    </row>
    <row r="49" spans="2:30" x14ac:dyDescent="0.3">
      <c r="Z49" s="11">
        <v>0</v>
      </c>
      <c r="AA49" s="11">
        <f>(SUM(C35:G35)*C6)/1000</f>
        <v>74.485999427332175</v>
      </c>
      <c r="AB49" s="11">
        <v>0.9</v>
      </c>
      <c r="AC49" s="5">
        <f>Z49*AB49</f>
        <v>0</v>
      </c>
      <c r="AD49" s="5">
        <f>AA49*AB49</f>
        <v>67.037399484598964</v>
      </c>
    </row>
    <row r="50" spans="2:30" x14ac:dyDescent="0.3">
      <c r="B50" s="5">
        <f>C9/C10</f>
        <v>1</v>
      </c>
      <c r="C50" s="37">
        <f>$C$12*(C$36-$B50)/$B50</f>
        <v>1.3762499999999999E-2</v>
      </c>
      <c r="D50" s="37">
        <f>$C$12*(D$36-$B50)/$B50</f>
        <v>3.163125E-2</v>
      </c>
      <c r="E50" s="37">
        <f t="shared" ref="C50:G59" si="0">$C$12*(E$36-$B50)/$B50</f>
        <v>4.9500000000000002E-2</v>
      </c>
      <c r="F50" s="37">
        <f t="shared" si="0"/>
        <v>6.7368749999999991E-2</v>
      </c>
      <c r="G50" s="37">
        <f t="shared" si="0"/>
        <v>8.5237499999999994E-2</v>
      </c>
      <c r="H50" s="38">
        <f>IF(C50&lt;-$C$13,-$C$6,IF(C50&lt;=$C$13,C50*$C$7,$C$6))</f>
        <v>4200</v>
      </c>
      <c r="I50" s="38">
        <f>IF(D50&lt;-$C$13,-$C$6,IF(D50&lt;=$C$13,D50*$C$7,$C$6))</f>
        <v>4200</v>
      </c>
      <c r="J50" s="38">
        <f>IF(E50&lt;-$C$13,-$C$6,IF(E50&lt;=$C$13,E50*$C$7,$C$6))</f>
        <v>4200</v>
      </c>
      <c r="K50" s="38">
        <f>IF(F50&lt;-$C$13,-$C$6,IF(F50&lt;=$C$13,F50*$C$7,$C$6))</f>
        <v>4200</v>
      </c>
      <c r="L50" s="38">
        <f>IF(G50&lt;-$C$13,-$C$6,IF(G50&lt;=$C$13,G50*$C$7,$C$6))</f>
        <v>4200</v>
      </c>
      <c r="M50" s="11">
        <f>$C$5*B50</f>
        <v>0.85</v>
      </c>
      <c r="N50" s="38">
        <f t="shared" ref="N50:N84" si="1">IF(C$36&lt;$M50,H50*C$35+0.85*$C$4*C$35,H50*C$35)</f>
        <v>21281.714122094905</v>
      </c>
      <c r="O50" s="38">
        <f t="shared" ref="O50:O84" si="2">IF(D$36&lt;$M50,I50*D$35+0.85*$C$4*D$35,I50*D$35)</f>
        <v>10640.857061047453</v>
      </c>
      <c r="P50" s="38">
        <f t="shared" ref="P50:P84" si="3">IF(E$36&lt;$M50,J50*E$35+0.85*$C$4*E$35,J50*E$35)</f>
        <v>10640.857061047453</v>
      </c>
      <c r="Q50" s="38">
        <f t="shared" ref="Q50:Q84" si="4">IF(F$36&lt;$M50,K50*F$35+0.85*$C$4*F$35,K50*F$35)</f>
        <v>10640.857061047453</v>
      </c>
      <c r="R50" s="38">
        <f t="shared" ref="R50:R84" si="5">IF(G$36&lt;$M50,L50*G$35+0.85*$C$4*G$35,L50*G$35)</f>
        <v>21281.714122094905</v>
      </c>
      <c r="S50" s="38">
        <f>-0.85*$C$4*M50*$C$8</f>
        <v>-3793.125</v>
      </c>
      <c r="T50" s="5">
        <f t="shared" ref="T50:T84" si="6">(N50*(C$36-$C$44))/100000</f>
        <v>-2.5351841947945561</v>
      </c>
      <c r="U50" s="5">
        <f t="shared" ref="U50:U84" si="7">(O50*(D$36-$C$44))/100000</f>
        <v>-0.63379604869863904</v>
      </c>
      <c r="V50" s="5">
        <f t="shared" ref="V50:V84" si="8">(P50*(E$36-$C$44))/100000</f>
        <v>0</v>
      </c>
      <c r="W50" s="5">
        <f t="shared" ref="W50:W84" si="9">(Q50*(F$36-$C$44))/100000</f>
        <v>0.63379604869863859</v>
      </c>
      <c r="X50" s="5">
        <f t="shared" ref="X50:X84" si="10">(R50*(G$36-$C$44))/100000</f>
        <v>2.5351841947945553</v>
      </c>
      <c r="Y50" s="5">
        <f t="shared" ref="Y50:Y84" si="11">(S50*(M50/2-$C$44))/100000</f>
        <v>0.64767609375000001</v>
      </c>
      <c r="Z50" s="5">
        <f>SUM(T50:Y50)</f>
        <v>0.64767609374999868</v>
      </c>
      <c r="AA50" s="5">
        <f>SUM(N50:S50)/1000</f>
        <v>70.692874427332171</v>
      </c>
      <c r="AB50" s="5">
        <f>_xlfn.IFS(G50&gt;0.005,0.9,G50&lt;$C$13,0.65,G50&lt;&gt;0.005,(0.9-0.65)*(G50-$C$13)/(0.005-$C$13)+0.65,G50&lt;&gt;$C$13,(0.9-0.65)*(G50-$C$13)/(0.005-$C$13)+0.65)</f>
        <v>0.9</v>
      </c>
      <c r="AC50" s="5">
        <f>Z50*AB50</f>
        <v>0.58290848437499887</v>
      </c>
      <c r="AD50" s="5">
        <f t="shared" ref="AD50:AD84" si="12">AA50*AB50</f>
        <v>63.623586984598958</v>
      </c>
    </row>
    <row r="51" spans="2:30" x14ac:dyDescent="0.3">
      <c r="B51" s="5">
        <f>B50+$C$9/$C$10</f>
        <v>2</v>
      </c>
      <c r="C51" s="37">
        <f t="shared" si="0"/>
        <v>5.3812499999999989E-3</v>
      </c>
      <c r="D51" s="37">
        <f t="shared" si="0"/>
        <v>1.4315624999999998E-2</v>
      </c>
      <c r="E51" s="37">
        <f t="shared" si="0"/>
        <v>2.325E-2</v>
      </c>
      <c r="F51" s="37">
        <f t="shared" si="0"/>
        <v>3.2184374999999994E-2</v>
      </c>
      <c r="G51" s="37">
        <f t="shared" si="0"/>
        <v>4.1118749999999996E-2</v>
      </c>
      <c r="H51" s="38">
        <f t="shared" ref="H51:H65" si="13">IF(C51&lt;-$C$13,-$C$6,IF(C51&lt;=$C$13,C51*$C$7,$C$6))</f>
        <v>4200</v>
      </c>
      <c r="I51" s="38">
        <f t="shared" ref="I51:I65" si="14">IF(D51&lt;-$C$13,-$C$6,IF(D51&lt;=$C$13,D51*$C$7,$C$6))</f>
        <v>4200</v>
      </c>
      <c r="J51" s="38">
        <f t="shared" ref="J51:J65" si="15">IF(E51&lt;-$C$13,-$C$6,IF(E51&lt;=$C$13,E51*$C$7,$C$6))</f>
        <v>4200</v>
      </c>
      <c r="K51" s="38">
        <f t="shared" ref="K51:K65" si="16">IF(F51&lt;-$C$13,-$C$6,IF(F51&lt;=$C$13,F51*$C$7,$C$6))</f>
        <v>4200</v>
      </c>
      <c r="L51" s="38">
        <f t="shared" ref="L51:L65" si="17">IF(G51&lt;-$C$13,-$C$6,IF(G51&lt;=$C$13,G51*$C$7,$C$6))</f>
        <v>4200</v>
      </c>
      <c r="M51" s="11">
        <f t="shared" ref="M51:M84" si="18">$C$5*B51</f>
        <v>1.7</v>
      </c>
      <c r="N51" s="38">
        <f t="shared" si="1"/>
        <v>21281.714122094905</v>
      </c>
      <c r="O51" s="38">
        <f t="shared" si="2"/>
        <v>10640.857061047453</v>
      </c>
      <c r="P51" s="38">
        <f t="shared" si="3"/>
        <v>10640.857061047453</v>
      </c>
      <c r="Q51" s="38">
        <f t="shared" si="4"/>
        <v>10640.857061047453</v>
      </c>
      <c r="R51" s="38">
        <f t="shared" si="5"/>
        <v>21281.714122094905</v>
      </c>
      <c r="S51" s="38">
        <f t="shared" ref="S51:S84" si="19">-0.85*$C$4*M51*$C$8</f>
        <v>-7586.25</v>
      </c>
      <c r="T51" s="5">
        <f t="shared" si="6"/>
        <v>-2.5351841947945561</v>
      </c>
      <c r="U51" s="5">
        <f t="shared" si="7"/>
        <v>-0.63379604869863904</v>
      </c>
      <c r="V51" s="5">
        <f t="shared" si="8"/>
        <v>0</v>
      </c>
      <c r="W51" s="5">
        <f t="shared" si="9"/>
        <v>0.63379604869863859</v>
      </c>
      <c r="X51" s="5">
        <f t="shared" si="10"/>
        <v>2.5351841947945553</v>
      </c>
      <c r="Y51" s="5">
        <f t="shared" si="11"/>
        <v>1.2631106249999999</v>
      </c>
      <c r="Z51" s="5">
        <f t="shared" ref="Z51:Z84" si="20">SUM(T51:Y51)</f>
        <v>1.2631106249999986</v>
      </c>
      <c r="AA51" s="5">
        <f t="shared" ref="AA51:AA84" si="21">SUM(N51:S51)/1000</f>
        <v>66.899749427332168</v>
      </c>
      <c r="AB51" s="5">
        <f t="shared" ref="AB51:AB83" si="22">_xlfn.IFS(G51&gt;0.005,0.9,G51&lt;$C$13,0.65,G51&lt;&gt;0.005,(0.9-0.65)*(G51-$C$13)/(0.005-$C$13)+0.65,G51&lt;&gt;$C$13,(0.9-0.65)*(G51-$C$13)/(0.005-$C$13)+0.65)</f>
        <v>0.9</v>
      </c>
      <c r="AC51" s="5">
        <f t="shared" ref="AC51:AC84" si="23">Z51*AB51</f>
        <v>1.1367995624999987</v>
      </c>
      <c r="AD51" s="5">
        <f t="shared" si="12"/>
        <v>60.209774484598952</v>
      </c>
    </row>
    <row r="52" spans="2:30" x14ac:dyDescent="0.3">
      <c r="B52" s="5">
        <f t="shared" ref="B52:B84" si="24">B51+$C$9/$C$10</f>
        <v>3</v>
      </c>
      <c r="C52" s="37">
        <f t="shared" si="0"/>
        <v>2.5874999999999995E-3</v>
      </c>
      <c r="D52" s="37">
        <f t="shared" si="0"/>
        <v>8.5437499999999993E-3</v>
      </c>
      <c r="E52" s="37">
        <f t="shared" si="0"/>
        <v>1.4500000000000001E-2</v>
      </c>
      <c r="F52" s="37">
        <f t="shared" si="0"/>
        <v>2.0456249999999999E-2</v>
      </c>
      <c r="G52" s="37">
        <f t="shared" si="0"/>
        <v>2.6412499999999995E-2</v>
      </c>
      <c r="H52" s="38">
        <f t="shared" si="13"/>
        <v>4200</v>
      </c>
      <c r="I52" s="38">
        <f t="shared" si="14"/>
        <v>4200</v>
      </c>
      <c r="J52" s="38">
        <f t="shared" si="15"/>
        <v>4200</v>
      </c>
      <c r="K52" s="38">
        <f t="shared" si="16"/>
        <v>4200</v>
      </c>
      <c r="L52" s="38">
        <f t="shared" si="17"/>
        <v>4200</v>
      </c>
      <c r="M52" s="11">
        <f t="shared" si="18"/>
        <v>2.5499999999999998</v>
      </c>
      <c r="N52" s="38">
        <f t="shared" si="1"/>
        <v>21281.714122094905</v>
      </c>
      <c r="O52" s="38">
        <f t="shared" si="2"/>
        <v>10640.857061047453</v>
      </c>
      <c r="P52" s="38">
        <f t="shared" si="3"/>
        <v>10640.857061047453</v>
      </c>
      <c r="Q52" s="38">
        <f t="shared" si="4"/>
        <v>10640.857061047453</v>
      </c>
      <c r="R52" s="38">
        <f t="shared" si="5"/>
        <v>21281.714122094905</v>
      </c>
      <c r="S52" s="38">
        <f t="shared" si="19"/>
        <v>-11379.374999999998</v>
      </c>
      <c r="T52" s="5">
        <f t="shared" si="6"/>
        <v>-2.5351841947945561</v>
      </c>
      <c r="U52" s="5">
        <f t="shared" si="7"/>
        <v>-0.63379604869863904</v>
      </c>
      <c r="V52" s="5">
        <f t="shared" si="8"/>
        <v>0</v>
      </c>
      <c r="W52" s="5">
        <f t="shared" si="9"/>
        <v>0.63379604869863859</v>
      </c>
      <c r="X52" s="5">
        <f t="shared" si="10"/>
        <v>2.5351841947945553</v>
      </c>
      <c r="Y52" s="5">
        <f t="shared" si="11"/>
        <v>1.8463035937500001</v>
      </c>
      <c r="Z52" s="5">
        <f t="shared" si="20"/>
        <v>1.8463035937499988</v>
      </c>
      <c r="AA52" s="5">
        <f t="shared" si="21"/>
        <v>63.106624427332164</v>
      </c>
      <c r="AB52" s="5">
        <f t="shared" si="22"/>
        <v>0.9</v>
      </c>
      <c r="AC52" s="5">
        <f t="shared" si="23"/>
        <v>1.6616732343749989</v>
      </c>
      <c r="AD52" s="5">
        <f t="shared" si="12"/>
        <v>56.795961984598947</v>
      </c>
    </row>
    <row r="53" spans="2:30" x14ac:dyDescent="0.3">
      <c r="B53" s="5">
        <f t="shared" si="24"/>
        <v>4</v>
      </c>
      <c r="C53" s="37">
        <f t="shared" si="0"/>
        <v>1.1906249999999996E-3</v>
      </c>
      <c r="D53" s="37">
        <f t="shared" si="0"/>
        <v>5.6578124999999996E-3</v>
      </c>
      <c r="E53" s="37">
        <f t="shared" si="0"/>
        <v>1.0125E-2</v>
      </c>
      <c r="F53" s="37">
        <f t="shared" si="0"/>
        <v>1.4592187499999998E-2</v>
      </c>
      <c r="G53" s="37">
        <f t="shared" si="0"/>
        <v>1.9059375E-2</v>
      </c>
      <c r="H53" s="38">
        <f t="shared" si="13"/>
        <v>2381.2499999999991</v>
      </c>
      <c r="I53" s="38">
        <f t="shared" si="14"/>
        <v>4200</v>
      </c>
      <c r="J53" s="38">
        <f t="shared" si="15"/>
        <v>4200</v>
      </c>
      <c r="K53" s="38">
        <f t="shared" si="16"/>
        <v>4200</v>
      </c>
      <c r="L53" s="38">
        <f t="shared" si="17"/>
        <v>4200</v>
      </c>
      <c r="M53" s="11">
        <f t="shared" si="18"/>
        <v>3.4</v>
      </c>
      <c r="N53" s="38">
        <f t="shared" si="1"/>
        <v>12065.971846009161</v>
      </c>
      <c r="O53" s="38">
        <f t="shared" si="2"/>
        <v>10640.857061047453</v>
      </c>
      <c r="P53" s="38">
        <f t="shared" si="3"/>
        <v>10640.857061047453</v>
      </c>
      <c r="Q53" s="38">
        <f t="shared" si="4"/>
        <v>10640.857061047453</v>
      </c>
      <c r="R53" s="38">
        <f t="shared" si="5"/>
        <v>21281.714122094905</v>
      </c>
      <c r="S53" s="38">
        <f t="shared" si="19"/>
        <v>-15172.5</v>
      </c>
      <c r="T53" s="5">
        <f t="shared" si="6"/>
        <v>-1.4373588961558414</v>
      </c>
      <c r="U53" s="5">
        <f t="shared" si="7"/>
        <v>-0.63379604869863904</v>
      </c>
      <c r="V53" s="5">
        <f t="shared" si="8"/>
        <v>0</v>
      </c>
      <c r="W53" s="5">
        <f t="shared" si="9"/>
        <v>0.63379604869863859</v>
      </c>
      <c r="X53" s="5">
        <f t="shared" si="10"/>
        <v>2.5351841947945553</v>
      </c>
      <c r="Y53" s="5">
        <f t="shared" si="11"/>
        <v>2.3972549999999999</v>
      </c>
      <c r="Z53" s="5">
        <f t="shared" si="20"/>
        <v>3.4950802986387135</v>
      </c>
      <c r="AA53" s="5">
        <f t="shared" si="21"/>
        <v>50.097757151246427</v>
      </c>
      <c r="AB53" s="5">
        <f t="shared" si="22"/>
        <v>0.9</v>
      </c>
      <c r="AC53" s="5">
        <f t="shared" si="23"/>
        <v>3.1455722687748424</v>
      </c>
      <c r="AD53" s="5">
        <f t="shared" si="12"/>
        <v>45.087981436121787</v>
      </c>
    </row>
    <row r="54" spans="2:30" x14ac:dyDescent="0.3">
      <c r="B54" s="5">
        <f t="shared" si="24"/>
        <v>5</v>
      </c>
      <c r="C54" s="37">
        <f t="shared" si="0"/>
        <v>3.5249999999999968E-4</v>
      </c>
      <c r="D54" s="37">
        <f t="shared" si="0"/>
        <v>3.9262500000000001E-3</v>
      </c>
      <c r="E54" s="37">
        <f t="shared" si="0"/>
        <v>7.4999999999999997E-3</v>
      </c>
      <c r="F54" s="37">
        <f t="shared" si="0"/>
        <v>1.1073749999999999E-2</v>
      </c>
      <c r="G54" s="37">
        <f t="shared" si="0"/>
        <v>1.4647499999999999E-2</v>
      </c>
      <c r="H54" s="38">
        <f t="shared" si="13"/>
        <v>704.99999999999932</v>
      </c>
      <c r="I54" s="38">
        <f t="shared" si="14"/>
        <v>4200</v>
      </c>
      <c r="J54" s="38">
        <f t="shared" si="15"/>
        <v>4200</v>
      </c>
      <c r="K54" s="38">
        <f t="shared" si="16"/>
        <v>4200</v>
      </c>
      <c r="L54" s="38">
        <f t="shared" si="17"/>
        <v>4200</v>
      </c>
      <c r="M54" s="11">
        <f t="shared" si="18"/>
        <v>4.25</v>
      </c>
      <c r="N54" s="38">
        <f t="shared" si="1"/>
        <v>3572.2877276373561</v>
      </c>
      <c r="O54" s="38">
        <f t="shared" si="2"/>
        <v>10640.857061047453</v>
      </c>
      <c r="P54" s="38">
        <f t="shared" si="3"/>
        <v>10640.857061047453</v>
      </c>
      <c r="Q54" s="38">
        <f t="shared" si="4"/>
        <v>10640.857061047453</v>
      </c>
      <c r="R54" s="38">
        <f t="shared" si="5"/>
        <v>21281.714122094905</v>
      </c>
      <c r="S54" s="38">
        <f t="shared" si="19"/>
        <v>-18965.625</v>
      </c>
      <c r="T54" s="5">
        <f t="shared" si="6"/>
        <v>-0.42554877555480008</v>
      </c>
      <c r="U54" s="5">
        <f t="shared" si="7"/>
        <v>-0.63379604869863904</v>
      </c>
      <c r="V54" s="5">
        <f t="shared" si="8"/>
        <v>0</v>
      </c>
      <c r="W54" s="5">
        <f t="shared" si="9"/>
        <v>0.63379604869863859</v>
      </c>
      <c r="X54" s="5">
        <f t="shared" si="10"/>
        <v>2.5351841947945553</v>
      </c>
      <c r="Y54" s="5">
        <f t="shared" si="11"/>
        <v>2.9159648437499999</v>
      </c>
      <c r="Z54" s="5">
        <f t="shared" si="20"/>
        <v>5.0256002629897552</v>
      </c>
      <c r="AA54" s="5">
        <f t="shared" si="21"/>
        <v>37.81094803287462</v>
      </c>
      <c r="AB54" s="5">
        <f t="shared" si="22"/>
        <v>0.9</v>
      </c>
      <c r="AC54" s="5">
        <f t="shared" si="23"/>
        <v>4.5230402366907798</v>
      </c>
      <c r="AD54" s="5">
        <f t="shared" si="12"/>
        <v>34.029853229587161</v>
      </c>
    </row>
    <row r="55" spans="2:30" x14ac:dyDescent="0.3">
      <c r="B55" s="5">
        <f t="shared" si="24"/>
        <v>6</v>
      </c>
      <c r="C55" s="37">
        <f t="shared" si="0"/>
        <v>-2.0625000000000027E-4</v>
      </c>
      <c r="D55" s="37">
        <f t="shared" si="0"/>
        <v>2.7718749999999996E-3</v>
      </c>
      <c r="E55" s="37">
        <f t="shared" si="0"/>
        <v>5.7500000000000008E-3</v>
      </c>
      <c r="F55" s="37">
        <f t="shared" si="0"/>
        <v>8.728124999999998E-3</v>
      </c>
      <c r="G55" s="37">
        <f t="shared" si="0"/>
        <v>1.170625E-2</v>
      </c>
      <c r="H55" s="38">
        <f t="shared" si="13"/>
        <v>-412.50000000000051</v>
      </c>
      <c r="I55" s="38">
        <f t="shared" si="14"/>
        <v>4200</v>
      </c>
      <c r="J55" s="38">
        <f t="shared" si="15"/>
        <v>4200</v>
      </c>
      <c r="K55" s="38">
        <f t="shared" si="16"/>
        <v>4200</v>
      </c>
      <c r="L55" s="38">
        <f t="shared" si="17"/>
        <v>4200</v>
      </c>
      <c r="M55" s="11">
        <f t="shared" si="18"/>
        <v>5.0999999999999996</v>
      </c>
      <c r="N55" s="38">
        <f t="shared" si="1"/>
        <v>-2090.168351277181</v>
      </c>
      <c r="O55" s="38">
        <f t="shared" si="2"/>
        <v>10640.857061047453</v>
      </c>
      <c r="P55" s="38">
        <f t="shared" si="3"/>
        <v>10640.857061047453</v>
      </c>
      <c r="Q55" s="38">
        <f t="shared" si="4"/>
        <v>10640.857061047453</v>
      </c>
      <c r="R55" s="38">
        <f t="shared" si="5"/>
        <v>21281.714122094905</v>
      </c>
      <c r="S55" s="38">
        <f t="shared" si="19"/>
        <v>-22758.749999999996</v>
      </c>
      <c r="T55" s="5">
        <f t="shared" si="6"/>
        <v>0.24899130484589424</v>
      </c>
      <c r="U55" s="5">
        <f t="shared" si="7"/>
        <v>-0.63379604869863904</v>
      </c>
      <c r="V55" s="5">
        <f t="shared" si="8"/>
        <v>0</v>
      </c>
      <c r="W55" s="5">
        <f t="shared" si="9"/>
        <v>0.63379604869863859</v>
      </c>
      <c r="X55" s="5">
        <f t="shared" si="10"/>
        <v>2.5351841947945553</v>
      </c>
      <c r="Y55" s="5">
        <f t="shared" si="11"/>
        <v>3.4024331249999995</v>
      </c>
      <c r="Z55" s="5">
        <f t="shared" si="20"/>
        <v>6.1866086246404492</v>
      </c>
      <c r="AA55" s="5">
        <f t="shared" si="21"/>
        <v>28.355366953960086</v>
      </c>
      <c r="AB55" s="5">
        <f t="shared" si="22"/>
        <v>0.9</v>
      </c>
      <c r="AC55" s="5">
        <f t="shared" si="23"/>
        <v>5.5679477621764049</v>
      </c>
      <c r="AD55" s="5">
        <f t="shared" si="12"/>
        <v>25.519830258564077</v>
      </c>
    </row>
    <row r="56" spans="2:30" x14ac:dyDescent="0.3">
      <c r="B56" s="5">
        <f t="shared" si="24"/>
        <v>7</v>
      </c>
      <c r="C56" s="37">
        <f t="shared" si="0"/>
        <v>-6.0535714285714305E-4</v>
      </c>
      <c r="D56" s="37">
        <f t="shared" si="0"/>
        <v>1.9473214285714283E-3</v>
      </c>
      <c r="E56" s="37">
        <f t="shared" si="0"/>
        <v>4.4999999999999997E-3</v>
      </c>
      <c r="F56" s="37">
        <f t="shared" si="0"/>
        <v>7.05267857142857E-3</v>
      </c>
      <c r="G56" s="37">
        <f t="shared" si="0"/>
        <v>9.6053571428571412E-3</v>
      </c>
      <c r="H56" s="38">
        <f t="shared" si="13"/>
        <v>-1210.714285714286</v>
      </c>
      <c r="I56" s="38">
        <f t="shared" si="14"/>
        <v>3894.6428571428564</v>
      </c>
      <c r="J56" s="38">
        <f t="shared" si="15"/>
        <v>4200</v>
      </c>
      <c r="K56" s="38">
        <f t="shared" si="16"/>
        <v>4200</v>
      </c>
      <c r="L56" s="38">
        <f t="shared" si="17"/>
        <v>4200</v>
      </c>
      <c r="M56" s="11">
        <f t="shared" si="18"/>
        <v>5.95</v>
      </c>
      <c r="N56" s="38">
        <f t="shared" si="1"/>
        <v>-5230.3069860271025</v>
      </c>
      <c r="O56" s="38">
        <f t="shared" si="2"/>
        <v>9867.223320639665</v>
      </c>
      <c r="P56" s="38">
        <f t="shared" si="3"/>
        <v>10640.857061047453</v>
      </c>
      <c r="Q56" s="38">
        <f t="shared" si="4"/>
        <v>10640.857061047453</v>
      </c>
      <c r="R56" s="38">
        <f t="shared" si="5"/>
        <v>21281.714122094905</v>
      </c>
      <c r="S56" s="38">
        <f t="shared" si="19"/>
        <v>-26551.875</v>
      </c>
      <c r="T56" s="5">
        <f t="shared" si="6"/>
        <v>0.6230603197104787</v>
      </c>
      <c r="U56" s="5">
        <f t="shared" si="7"/>
        <v>-0.58771648903560014</v>
      </c>
      <c r="V56" s="5">
        <f t="shared" si="8"/>
        <v>0</v>
      </c>
      <c r="W56" s="5">
        <f t="shared" si="9"/>
        <v>0.63379604869863859</v>
      </c>
      <c r="X56" s="5">
        <f t="shared" si="10"/>
        <v>2.5351841947945553</v>
      </c>
      <c r="Y56" s="5">
        <f t="shared" si="11"/>
        <v>3.8566598437500001</v>
      </c>
      <c r="Z56" s="5">
        <f t="shared" si="20"/>
        <v>7.0609839179180724</v>
      </c>
      <c r="AA56" s="5">
        <f t="shared" si="21"/>
        <v>20.648469578802374</v>
      </c>
      <c r="AB56" s="5">
        <f t="shared" si="22"/>
        <v>0.9</v>
      </c>
      <c r="AC56" s="5">
        <f t="shared" si="23"/>
        <v>6.3548855261262656</v>
      </c>
      <c r="AD56" s="5">
        <f t="shared" si="12"/>
        <v>18.583622620922135</v>
      </c>
    </row>
    <row r="57" spans="2:30" x14ac:dyDescent="0.3">
      <c r="B57" s="5">
        <f t="shared" si="24"/>
        <v>8</v>
      </c>
      <c r="C57" s="37">
        <f t="shared" si="0"/>
        <v>-9.0468750000000022E-4</v>
      </c>
      <c r="D57" s="37">
        <f t="shared" si="0"/>
        <v>1.3289062499999998E-3</v>
      </c>
      <c r="E57" s="37">
        <f t="shared" si="0"/>
        <v>3.5625000000000001E-3</v>
      </c>
      <c r="F57" s="37">
        <f t="shared" si="0"/>
        <v>5.7960937499999992E-3</v>
      </c>
      <c r="G57" s="37">
        <f t="shared" si="0"/>
        <v>8.0296874999999986E-3</v>
      </c>
      <c r="H57" s="38">
        <f t="shared" si="13"/>
        <v>-1809.3750000000005</v>
      </c>
      <c r="I57" s="38">
        <f t="shared" si="14"/>
        <v>2657.8124999999995</v>
      </c>
      <c r="J57" s="38">
        <f t="shared" si="15"/>
        <v>4200</v>
      </c>
      <c r="K57" s="38">
        <f t="shared" si="16"/>
        <v>4200</v>
      </c>
      <c r="L57" s="38">
        <f t="shared" si="17"/>
        <v>4200</v>
      </c>
      <c r="M57" s="11">
        <f t="shared" si="18"/>
        <v>6.8</v>
      </c>
      <c r="N57" s="38">
        <f t="shared" si="1"/>
        <v>-8263.7655997313195</v>
      </c>
      <c r="O57" s="38">
        <f t="shared" si="2"/>
        <v>6733.6673589440907</v>
      </c>
      <c r="P57" s="38">
        <f t="shared" si="3"/>
        <v>10640.857061047453</v>
      </c>
      <c r="Q57" s="38">
        <f t="shared" si="4"/>
        <v>10640.857061047453</v>
      </c>
      <c r="R57" s="38">
        <f t="shared" si="5"/>
        <v>21281.714122094905</v>
      </c>
      <c r="S57" s="38">
        <f t="shared" si="19"/>
        <v>-30345</v>
      </c>
      <c r="T57" s="5">
        <f t="shared" si="6"/>
        <v>0.98442107706799364</v>
      </c>
      <c r="U57" s="5">
        <f t="shared" si="7"/>
        <v>-0.40107406206710744</v>
      </c>
      <c r="V57" s="5">
        <f t="shared" si="8"/>
        <v>0</v>
      </c>
      <c r="W57" s="5">
        <f t="shared" si="9"/>
        <v>0.63379604869863859</v>
      </c>
      <c r="X57" s="5">
        <f t="shared" si="10"/>
        <v>2.5351841947945553</v>
      </c>
      <c r="Y57" s="5">
        <f t="shared" si="11"/>
        <v>4.278645</v>
      </c>
      <c r="Z57" s="5">
        <f t="shared" si="20"/>
        <v>8.0309722584940797</v>
      </c>
      <c r="AA57" s="5">
        <f t="shared" si="21"/>
        <v>10.688330003402582</v>
      </c>
      <c r="AB57" s="5">
        <f t="shared" si="22"/>
        <v>0.9</v>
      </c>
      <c r="AC57" s="5">
        <f t="shared" si="23"/>
        <v>7.2278750326446719</v>
      </c>
      <c r="AD57" s="5">
        <f t="shared" si="12"/>
        <v>9.6194970030623246</v>
      </c>
    </row>
    <row r="58" spans="2:30" x14ac:dyDescent="0.3">
      <c r="B58" s="5">
        <f t="shared" si="24"/>
        <v>9</v>
      </c>
      <c r="C58" s="37">
        <f t="shared" si="0"/>
        <v>-1.1375000000000003E-3</v>
      </c>
      <c r="D58" s="37">
        <f t="shared" si="0"/>
        <v>8.4791666666666652E-4</v>
      </c>
      <c r="E58" s="37">
        <f t="shared" si="0"/>
        <v>2.8333333333333335E-3</v>
      </c>
      <c r="F58" s="37">
        <f t="shared" si="0"/>
        <v>4.8187499999999992E-3</v>
      </c>
      <c r="G58" s="37">
        <f t="shared" si="0"/>
        <v>6.8041666666666658E-3</v>
      </c>
      <c r="H58" s="38">
        <f t="shared" si="13"/>
        <v>-2275.0000000000005</v>
      </c>
      <c r="I58" s="38">
        <f t="shared" si="14"/>
        <v>1695.833333333333</v>
      </c>
      <c r="J58" s="38">
        <f t="shared" si="15"/>
        <v>4200</v>
      </c>
      <c r="K58" s="38">
        <f t="shared" si="16"/>
        <v>4200</v>
      </c>
      <c r="L58" s="38">
        <f t="shared" si="17"/>
        <v>4200</v>
      </c>
      <c r="M58" s="11">
        <f t="shared" si="18"/>
        <v>7.6499999999999995</v>
      </c>
      <c r="N58" s="38">
        <f t="shared" si="1"/>
        <v>-10623.122299279044</v>
      </c>
      <c r="O58" s="38">
        <f t="shared" si="2"/>
        <v>4296.4571665141993</v>
      </c>
      <c r="P58" s="38">
        <f t="shared" si="3"/>
        <v>10640.857061047453</v>
      </c>
      <c r="Q58" s="38">
        <f t="shared" si="4"/>
        <v>10640.857061047453</v>
      </c>
      <c r="R58" s="38">
        <f t="shared" si="5"/>
        <v>21281.714122094905</v>
      </c>
      <c r="S58" s="38">
        <f t="shared" si="19"/>
        <v>-34138.125</v>
      </c>
      <c r="T58" s="5">
        <f t="shared" si="6"/>
        <v>1.2654794439016164</v>
      </c>
      <c r="U58" s="5">
        <f t="shared" si="7"/>
        <v>-0.25590772998050204</v>
      </c>
      <c r="V58" s="5">
        <f t="shared" si="8"/>
        <v>0</v>
      </c>
      <c r="W58" s="5">
        <f t="shared" si="9"/>
        <v>0.63379604869863859</v>
      </c>
      <c r="X58" s="5">
        <f t="shared" si="10"/>
        <v>2.5351841947945553</v>
      </c>
      <c r="Y58" s="5">
        <f t="shared" si="11"/>
        <v>4.6683885937499996</v>
      </c>
      <c r="Z58" s="5">
        <f t="shared" si="20"/>
        <v>8.8469405511643089</v>
      </c>
      <c r="AA58" s="5">
        <f t="shared" si="21"/>
        <v>2.0986381114249673</v>
      </c>
      <c r="AB58" s="5">
        <f t="shared" si="22"/>
        <v>0.9</v>
      </c>
      <c r="AC58" s="5">
        <f t="shared" si="23"/>
        <v>7.9622464960478778</v>
      </c>
      <c r="AD58" s="5">
        <f t="shared" si="12"/>
        <v>1.8887743002824706</v>
      </c>
    </row>
    <row r="59" spans="2:30" x14ac:dyDescent="0.3">
      <c r="B59" s="5">
        <f t="shared" si="24"/>
        <v>10</v>
      </c>
      <c r="C59" s="37">
        <f t="shared" si="0"/>
        <v>-1.3237500000000003E-3</v>
      </c>
      <c r="D59" s="37">
        <f t="shared" si="0"/>
        <v>4.6312499999999983E-4</v>
      </c>
      <c r="E59" s="37">
        <f t="shared" si="0"/>
        <v>2.2499999999999998E-3</v>
      </c>
      <c r="F59" s="37">
        <f t="shared" si="0"/>
        <v>4.0368749999999997E-3</v>
      </c>
      <c r="G59" s="37">
        <f t="shared" si="0"/>
        <v>5.8237499999999999E-3</v>
      </c>
      <c r="H59" s="38">
        <f t="shared" si="13"/>
        <v>-2647.5000000000005</v>
      </c>
      <c r="I59" s="38">
        <f t="shared" si="14"/>
        <v>926.24999999999966</v>
      </c>
      <c r="J59" s="38">
        <f t="shared" si="15"/>
        <v>4200</v>
      </c>
      <c r="K59" s="38">
        <f t="shared" si="16"/>
        <v>4200</v>
      </c>
      <c r="L59" s="38">
        <f t="shared" si="17"/>
        <v>4200</v>
      </c>
      <c r="M59" s="11">
        <f t="shared" si="18"/>
        <v>8.5</v>
      </c>
      <c r="N59" s="38">
        <f t="shared" si="1"/>
        <v>-12510.607658917223</v>
      </c>
      <c r="O59" s="38">
        <f t="shared" si="2"/>
        <v>2346.6890125702857</v>
      </c>
      <c r="P59" s="38">
        <f t="shared" si="3"/>
        <v>10640.857061047453</v>
      </c>
      <c r="Q59" s="38">
        <f t="shared" si="4"/>
        <v>10640.857061047453</v>
      </c>
      <c r="R59" s="38">
        <f t="shared" si="5"/>
        <v>21281.714122094905</v>
      </c>
      <c r="S59" s="38">
        <f t="shared" si="19"/>
        <v>-37931.25</v>
      </c>
      <c r="T59" s="5">
        <f t="shared" si="6"/>
        <v>1.4903261373685144</v>
      </c>
      <c r="U59" s="5">
        <f t="shared" si="7"/>
        <v>-0.13977466431121766</v>
      </c>
      <c r="V59" s="5">
        <f t="shared" si="8"/>
        <v>0</v>
      </c>
      <c r="W59" s="5">
        <f t="shared" si="9"/>
        <v>0.63379604869863859</v>
      </c>
      <c r="X59" s="5">
        <f t="shared" si="10"/>
        <v>2.5351841947945553</v>
      </c>
      <c r="Y59" s="5">
        <f t="shared" si="11"/>
        <v>5.0258906249999997</v>
      </c>
      <c r="Z59" s="5">
        <f t="shared" si="20"/>
        <v>9.5454223415504913</v>
      </c>
      <c r="AA59" s="5">
        <f t="shared" si="21"/>
        <v>-5.5317404021571273</v>
      </c>
      <c r="AB59" s="5">
        <f t="shared" si="22"/>
        <v>0.9</v>
      </c>
      <c r="AC59" s="5">
        <f t="shared" si="23"/>
        <v>8.5908801073954422</v>
      </c>
      <c r="AD59" s="5">
        <f t="shared" si="12"/>
        <v>-4.9785663619414144</v>
      </c>
    </row>
    <row r="60" spans="2:30" x14ac:dyDescent="0.3">
      <c r="B60" s="5">
        <f t="shared" si="24"/>
        <v>11</v>
      </c>
      <c r="C60" s="37">
        <f t="shared" ref="C60:G69" si="25">$C$12*(C$36-$B60)/$B60</f>
        <v>-1.4761363636363637E-3</v>
      </c>
      <c r="D60" s="37">
        <f t="shared" si="25"/>
        <v>1.4829545454545437E-4</v>
      </c>
      <c r="E60" s="37">
        <f t="shared" si="25"/>
        <v>1.7727272727272728E-3</v>
      </c>
      <c r="F60" s="37">
        <f t="shared" si="25"/>
        <v>3.39715909090909E-3</v>
      </c>
      <c r="G60" s="37">
        <f t="shared" si="25"/>
        <v>5.0215909090909087E-3</v>
      </c>
      <c r="H60" s="38">
        <f t="shared" si="13"/>
        <v>-2952.2727272727275</v>
      </c>
      <c r="I60" s="38">
        <f t="shared" si="14"/>
        <v>296.59090909090872</v>
      </c>
      <c r="J60" s="38">
        <f t="shared" si="15"/>
        <v>3545.4545454545455</v>
      </c>
      <c r="K60" s="38">
        <f t="shared" si="16"/>
        <v>4200</v>
      </c>
      <c r="L60" s="38">
        <f t="shared" si="17"/>
        <v>4200</v>
      </c>
      <c r="M60" s="11">
        <f t="shared" si="18"/>
        <v>9.35</v>
      </c>
      <c r="N60" s="38">
        <f t="shared" si="1"/>
        <v>-14054.91386225755</v>
      </c>
      <c r="O60" s="38">
        <f t="shared" si="2"/>
        <v>751.42415934344751</v>
      </c>
      <c r="P60" s="38">
        <f t="shared" si="3"/>
        <v>8982.5416749101878</v>
      </c>
      <c r="Q60" s="38">
        <f t="shared" si="4"/>
        <v>10640.857061047453</v>
      </c>
      <c r="R60" s="38">
        <f t="shared" si="5"/>
        <v>21281.714122094905</v>
      </c>
      <c r="S60" s="38">
        <f t="shared" si="19"/>
        <v>-41724.375</v>
      </c>
      <c r="T60" s="5">
        <f t="shared" si="6"/>
        <v>1.6742916138414308</v>
      </c>
      <c r="U60" s="5">
        <f t="shared" si="7"/>
        <v>-4.4756701490894099E-2</v>
      </c>
      <c r="V60" s="5">
        <f t="shared" si="8"/>
        <v>0</v>
      </c>
      <c r="W60" s="5">
        <f t="shared" si="9"/>
        <v>0.63379604869863859</v>
      </c>
      <c r="X60" s="5">
        <f t="shared" si="10"/>
        <v>2.5351841947945553</v>
      </c>
      <c r="Y60" s="5">
        <f t="shared" si="11"/>
        <v>5.3511510937500004</v>
      </c>
      <c r="Z60" s="5">
        <f t="shared" si="20"/>
        <v>10.149666249593732</v>
      </c>
      <c r="AA60" s="5">
        <f t="shared" si="21"/>
        <v>-14.122751844861559</v>
      </c>
      <c r="AB60" s="5">
        <f t="shared" si="22"/>
        <v>0.9</v>
      </c>
      <c r="AC60" s="5">
        <f t="shared" si="23"/>
        <v>9.1346996246343597</v>
      </c>
      <c r="AD60" s="5">
        <f t="shared" si="12"/>
        <v>-12.710476660375404</v>
      </c>
    </row>
    <row r="61" spans="2:30" x14ac:dyDescent="0.3">
      <c r="B61" s="5">
        <f t="shared" si="24"/>
        <v>12</v>
      </c>
      <c r="C61" s="37">
        <f t="shared" si="25"/>
        <v>-1.6031250000000002E-3</v>
      </c>
      <c r="D61" s="37">
        <f t="shared" si="25"/>
        <v>-1.1406250000000018E-4</v>
      </c>
      <c r="E61" s="37">
        <f t="shared" si="25"/>
        <v>1.3750000000000001E-3</v>
      </c>
      <c r="F61" s="37">
        <f t="shared" si="25"/>
        <v>2.864062499999999E-3</v>
      </c>
      <c r="G61" s="37">
        <f t="shared" si="25"/>
        <v>4.3531249999999994E-3</v>
      </c>
      <c r="H61" s="38">
        <f t="shared" si="13"/>
        <v>-3206.2500000000005</v>
      </c>
      <c r="I61" s="38">
        <f t="shared" si="14"/>
        <v>-228.12500000000034</v>
      </c>
      <c r="J61" s="38">
        <f t="shared" si="15"/>
        <v>2750.0000000000005</v>
      </c>
      <c r="K61" s="38">
        <f t="shared" si="16"/>
        <v>4200</v>
      </c>
      <c r="L61" s="38">
        <f t="shared" si="17"/>
        <v>4200</v>
      </c>
      <c r="M61" s="11">
        <f t="shared" si="18"/>
        <v>10.199999999999999</v>
      </c>
      <c r="N61" s="38">
        <f t="shared" si="1"/>
        <v>-15341.835698374492</v>
      </c>
      <c r="O61" s="38">
        <f t="shared" si="2"/>
        <v>-577.96321834558432</v>
      </c>
      <c r="P61" s="38">
        <f t="shared" si="3"/>
        <v>6967.2278375905953</v>
      </c>
      <c r="Q61" s="38">
        <f t="shared" si="4"/>
        <v>10640.857061047453</v>
      </c>
      <c r="R61" s="38">
        <f t="shared" si="5"/>
        <v>21281.714122094905</v>
      </c>
      <c r="S61" s="38">
        <f t="shared" si="19"/>
        <v>-45517.499999999993</v>
      </c>
      <c r="T61" s="5">
        <f t="shared" si="6"/>
        <v>1.8275961775688618</v>
      </c>
      <c r="U61" s="5">
        <f t="shared" si="7"/>
        <v>3.4424934192708867E-2</v>
      </c>
      <c r="V61" s="5">
        <f t="shared" si="8"/>
        <v>0</v>
      </c>
      <c r="W61" s="5">
        <f t="shared" si="9"/>
        <v>0.63379604869863859</v>
      </c>
      <c r="X61" s="5">
        <f t="shared" si="10"/>
        <v>2.5351841947945553</v>
      </c>
      <c r="Y61" s="5">
        <f t="shared" si="11"/>
        <v>5.644169999999999</v>
      </c>
      <c r="Z61" s="5">
        <f t="shared" si="20"/>
        <v>10.675171355254763</v>
      </c>
      <c r="AA61" s="5">
        <f t="shared" si="21"/>
        <v>-22.547499895987116</v>
      </c>
      <c r="AB61" s="5">
        <f t="shared" si="22"/>
        <v>0.84423491379310345</v>
      </c>
      <c r="AC61" s="5">
        <f t="shared" si="23"/>
        <v>9.012352368830113</v>
      </c>
      <c r="AD61" s="5">
        <f t="shared" si="12"/>
        <v>-19.035386630938692</v>
      </c>
    </row>
    <row r="62" spans="2:30" x14ac:dyDescent="0.3">
      <c r="B62" s="5">
        <f t="shared" si="24"/>
        <v>13</v>
      </c>
      <c r="C62" s="37">
        <f t="shared" si="25"/>
        <v>-1.7105769230769234E-3</v>
      </c>
      <c r="D62" s="37">
        <f t="shared" si="25"/>
        <v>-3.3605769230769247E-4</v>
      </c>
      <c r="E62" s="37">
        <f t="shared" si="25"/>
        <v>1.0384615384615384E-3</v>
      </c>
      <c r="F62" s="37">
        <f t="shared" si="25"/>
        <v>2.4129807692307688E-3</v>
      </c>
      <c r="G62" s="37">
        <f t="shared" si="25"/>
        <v>3.7874999999999996E-3</v>
      </c>
      <c r="H62" s="38">
        <f t="shared" si="13"/>
        <v>-3421.1538461538466</v>
      </c>
      <c r="I62" s="38">
        <f t="shared" si="14"/>
        <v>-672.11538461538498</v>
      </c>
      <c r="J62" s="38">
        <f t="shared" si="15"/>
        <v>2076.9230769230767</v>
      </c>
      <c r="K62" s="38">
        <f t="shared" si="16"/>
        <v>4200</v>
      </c>
      <c r="L62" s="38">
        <f t="shared" si="17"/>
        <v>4200</v>
      </c>
      <c r="M62" s="11">
        <f t="shared" si="18"/>
        <v>11.049999999999999</v>
      </c>
      <c r="N62" s="38">
        <f t="shared" si="1"/>
        <v>-16430.769559704207</v>
      </c>
      <c r="O62" s="38">
        <f t="shared" si="2"/>
        <v>-1702.8294610055343</v>
      </c>
      <c r="P62" s="38">
        <f t="shared" si="3"/>
        <v>5261.962282935553</v>
      </c>
      <c r="Q62" s="38">
        <f t="shared" si="4"/>
        <v>10640.857061047453</v>
      </c>
      <c r="R62" s="38">
        <f t="shared" si="5"/>
        <v>21281.714122094905</v>
      </c>
      <c r="S62" s="38">
        <f t="shared" si="19"/>
        <v>-49310.624999999993</v>
      </c>
      <c r="T62" s="5">
        <f t="shared" si="6"/>
        <v>1.9573154237997639</v>
      </c>
      <c r="U62" s="5">
        <f t="shared" si="7"/>
        <v>0.10142477977114214</v>
      </c>
      <c r="V62" s="5">
        <f t="shared" si="8"/>
        <v>0</v>
      </c>
      <c r="W62" s="5">
        <f t="shared" si="9"/>
        <v>0.63379604869863859</v>
      </c>
      <c r="X62" s="5">
        <f t="shared" si="10"/>
        <v>2.5351841947945553</v>
      </c>
      <c r="Y62" s="5">
        <f t="shared" si="11"/>
        <v>5.90494734375</v>
      </c>
      <c r="Z62" s="5">
        <f t="shared" si="20"/>
        <v>11.1326677908141</v>
      </c>
      <c r="AA62" s="5">
        <f t="shared" si="21"/>
        <v>-30.259690554631824</v>
      </c>
      <c r="AB62" s="5">
        <f t="shared" si="22"/>
        <v>0.7954741379310345</v>
      </c>
      <c r="AC62" s="5">
        <f t="shared" si="23"/>
        <v>8.8557493137704402</v>
      </c>
      <c r="AD62" s="5">
        <f t="shared" si="12"/>
        <v>-24.070801258005616</v>
      </c>
    </row>
    <row r="63" spans="2:30" x14ac:dyDescent="0.3">
      <c r="B63" s="5">
        <f t="shared" si="24"/>
        <v>14</v>
      </c>
      <c r="C63" s="37">
        <f t="shared" si="25"/>
        <v>-1.8026785714285718E-3</v>
      </c>
      <c r="D63" s="37">
        <f t="shared" si="25"/>
        <v>-5.2633928571428591E-4</v>
      </c>
      <c r="E63" s="37">
        <f t="shared" si="25"/>
        <v>7.5000000000000002E-4</v>
      </c>
      <c r="F63" s="37">
        <f t="shared" si="25"/>
        <v>2.026339285714285E-3</v>
      </c>
      <c r="G63" s="37">
        <f t="shared" si="25"/>
        <v>3.302678571428571E-3</v>
      </c>
      <c r="H63" s="38">
        <f t="shared" si="13"/>
        <v>-3605.3571428571436</v>
      </c>
      <c r="I63" s="38">
        <f t="shared" si="14"/>
        <v>-1052.6785714285718</v>
      </c>
      <c r="J63" s="38">
        <f t="shared" si="15"/>
        <v>1500</v>
      </c>
      <c r="K63" s="38">
        <f t="shared" si="16"/>
        <v>4052.6785714285697</v>
      </c>
      <c r="L63" s="38">
        <f t="shared" si="17"/>
        <v>4200</v>
      </c>
      <c r="M63" s="11">
        <f t="shared" si="18"/>
        <v>11.9</v>
      </c>
      <c r="N63" s="38">
        <f t="shared" si="1"/>
        <v>-17364.14144084397</v>
      </c>
      <c r="O63" s="38">
        <f t="shared" si="2"/>
        <v>-2214.7641010481175</v>
      </c>
      <c r="P63" s="38">
        <f t="shared" si="3"/>
        <v>3800.3060932312333</v>
      </c>
      <c r="Q63" s="38">
        <f t="shared" si="4"/>
        <v>10267.612712605096</v>
      </c>
      <c r="R63" s="38">
        <f t="shared" si="5"/>
        <v>21281.714122094905</v>
      </c>
      <c r="S63" s="38">
        <f t="shared" si="19"/>
        <v>-53103.75</v>
      </c>
      <c r="T63" s="5">
        <f t="shared" si="6"/>
        <v>2.068503349140538</v>
      </c>
      <c r="U63" s="5">
        <f t="shared" si="7"/>
        <v>0.13191688676867849</v>
      </c>
      <c r="V63" s="5">
        <f t="shared" si="8"/>
        <v>0</v>
      </c>
      <c r="W63" s="5">
        <f t="shared" si="9"/>
        <v>0.61156468219454074</v>
      </c>
      <c r="X63" s="5">
        <f t="shared" si="10"/>
        <v>2.5351841947945553</v>
      </c>
      <c r="Y63" s="5">
        <f t="shared" si="11"/>
        <v>6.1334831249999997</v>
      </c>
      <c r="Z63" s="5">
        <f t="shared" si="20"/>
        <v>11.480652237898312</v>
      </c>
      <c r="AA63" s="5">
        <f t="shared" si="21"/>
        <v>-37.333022613960857</v>
      </c>
      <c r="AB63" s="5">
        <f t="shared" si="22"/>
        <v>0.75367918719211824</v>
      </c>
      <c r="AC63" s="5">
        <f t="shared" si="23"/>
        <v>8.6527286470945732</v>
      </c>
      <c r="AD63" s="5">
        <f t="shared" si="12"/>
        <v>-28.137122139114989</v>
      </c>
    </row>
    <row r="64" spans="2:30" x14ac:dyDescent="0.3">
      <c r="B64" s="5">
        <f t="shared" si="24"/>
        <v>15</v>
      </c>
      <c r="C64" s="37">
        <f t="shared" si="25"/>
        <v>-1.8825000000000003E-3</v>
      </c>
      <c r="D64" s="37">
        <f t="shared" si="25"/>
        <v>-6.9125000000000024E-4</v>
      </c>
      <c r="E64" s="37">
        <f t="shared" si="25"/>
        <v>5.0000000000000001E-4</v>
      </c>
      <c r="F64" s="37">
        <f t="shared" si="25"/>
        <v>1.6912499999999994E-3</v>
      </c>
      <c r="G64" s="37">
        <f t="shared" si="25"/>
        <v>2.8824999999999992E-3</v>
      </c>
      <c r="H64" s="38">
        <f t="shared" si="13"/>
        <v>-3765.0000000000005</v>
      </c>
      <c r="I64" s="38">
        <f t="shared" si="14"/>
        <v>-1382.5000000000005</v>
      </c>
      <c r="J64" s="38">
        <f t="shared" si="15"/>
        <v>1000</v>
      </c>
      <c r="K64" s="38">
        <f t="shared" si="16"/>
        <v>3382.4999999999986</v>
      </c>
      <c r="L64" s="38">
        <f t="shared" si="17"/>
        <v>4200</v>
      </c>
      <c r="M64" s="11">
        <f t="shared" si="18"/>
        <v>12.75</v>
      </c>
      <c r="N64" s="38">
        <f t="shared" si="1"/>
        <v>-18173.063737831759</v>
      </c>
      <c r="O64" s="38">
        <f t="shared" si="2"/>
        <v>-3050.3790241669376</v>
      </c>
      <c r="P64" s="38">
        <f t="shared" si="3"/>
        <v>2533.537395487489</v>
      </c>
      <c r="Q64" s="38">
        <f t="shared" si="4"/>
        <v>8569.6902402364285</v>
      </c>
      <c r="R64" s="38">
        <f t="shared" si="5"/>
        <v>21281.714122094905</v>
      </c>
      <c r="S64" s="38">
        <f t="shared" si="19"/>
        <v>-56896.875</v>
      </c>
      <c r="T64" s="5">
        <f t="shared" si="6"/>
        <v>2.1648662177692084</v>
      </c>
      <c r="U64" s="5">
        <f t="shared" si="7"/>
        <v>0.18168820062694324</v>
      </c>
      <c r="V64" s="5">
        <f t="shared" si="8"/>
        <v>0</v>
      </c>
      <c r="W64" s="5">
        <f t="shared" si="9"/>
        <v>0.51043217493408199</v>
      </c>
      <c r="X64" s="5">
        <f t="shared" si="10"/>
        <v>2.5351841947945553</v>
      </c>
      <c r="Y64" s="5">
        <f t="shared" si="11"/>
        <v>6.32977734375</v>
      </c>
      <c r="Z64" s="5">
        <f t="shared" si="20"/>
        <v>11.72194813187479</v>
      </c>
      <c r="AA64" s="5">
        <f t="shared" si="21"/>
        <v>-45.735376004179876</v>
      </c>
      <c r="AB64" s="5">
        <f t="shared" si="22"/>
        <v>0.71745689655172407</v>
      </c>
      <c r="AC64" s="5">
        <f t="shared" si="23"/>
        <v>8.4099925282351666</v>
      </c>
      <c r="AD64" s="5">
        <f t="shared" si="12"/>
        <v>-32.813160930585084</v>
      </c>
    </row>
    <row r="65" spans="2:30" x14ac:dyDescent="0.3">
      <c r="B65" s="5">
        <f t="shared" si="24"/>
        <v>16</v>
      </c>
      <c r="C65" s="37">
        <f t="shared" si="25"/>
        <v>-1.9523437500000003E-3</v>
      </c>
      <c r="D65" s="37">
        <f t="shared" si="25"/>
        <v>-8.3554687500000013E-4</v>
      </c>
      <c r="E65" s="37">
        <f t="shared" si="25"/>
        <v>2.8125000000000003E-4</v>
      </c>
      <c r="F65" s="37">
        <f t="shared" si="25"/>
        <v>1.3980468749999996E-3</v>
      </c>
      <c r="G65" s="37">
        <f t="shared" si="25"/>
        <v>2.5148437499999997E-3</v>
      </c>
      <c r="H65" s="38">
        <f t="shared" si="13"/>
        <v>-3904.6875000000005</v>
      </c>
      <c r="I65" s="38">
        <f t="shared" si="14"/>
        <v>-1671.0937500000002</v>
      </c>
      <c r="J65" s="38">
        <f t="shared" si="15"/>
        <v>562.50000000000011</v>
      </c>
      <c r="K65" s="38">
        <f t="shared" si="16"/>
        <v>2796.0937499999991</v>
      </c>
      <c r="L65" s="38">
        <f t="shared" si="17"/>
        <v>4200</v>
      </c>
      <c r="M65" s="11">
        <f t="shared" si="18"/>
        <v>13.6</v>
      </c>
      <c r="N65" s="38">
        <f t="shared" si="1"/>
        <v>-18880.870747696077</v>
      </c>
      <c r="O65" s="38">
        <f t="shared" si="2"/>
        <v>-3781.5420818959046</v>
      </c>
      <c r="P65" s="38">
        <f t="shared" si="3"/>
        <v>1425.1147849617128</v>
      </c>
      <c r="Q65" s="38">
        <f t="shared" si="4"/>
        <v>7084.008076913844</v>
      </c>
      <c r="R65" s="38">
        <f t="shared" si="5"/>
        <v>21281.714122094905</v>
      </c>
      <c r="S65" s="38">
        <f t="shared" si="19"/>
        <v>-60690</v>
      </c>
      <c r="T65" s="5">
        <f t="shared" si="6"/>
        <v>2.2491837278192954</v>
      </c>
      <c r="U65" s="5">
        <f t="shared" si="7"/>
        <v>0.22523810025292484</v>
      </c>
      <c r="V65" s="5">
        <f t="shared" si="8"/>
        <v>0</v>
      </c>
      <c r="W65" s="5">
        <f t="shared" si="9"/>
        <v>0.42194123108118059</v>
      </c>
      <c r="X65" s="5">
        <f t="shared" si="10"/>
        <v>2.5351841947945553</v>
      </c>
      <c r="Y65" s="5">
        <f t="shared" si="11"/>
        <v>6.49383</v>
      </c>
      <c r="Z65" s="5">
        <f t="shared" si="20"/>
        <v>11.925377253947957</v>
      </c>
      <c r="AA65" s="5">
        <f t="shared" si="21"/>
        <v>-53.561575845621519</v>
      </c>
      <c r="AB65" s="5">
        <f t="shared" si="22"/>
        <v>0.68576239224137936</v>
      </c>
      <c r="AC65" s="5">
        <f t="shared" si="23"/>
        <v>8.177975234048283</v>
      </c>
      <c r="AD65" s="5">
        <f t="shared" si="12"/>
        <v>-36.730514384111494</v>
      </c>
    </row>
    <row r="66" spans="2:30" x14ac:dyDescent="0.3">
      <c r="B66" s="5">
        <f t="shared" si="24"/>
        <v>17</v>
      </c>
      <c r="C66" s="37">
        <f t="shared" si="25"/>
        <v>-2.0139705882352942E-3</v>
      </c>
      <c r="D66" s="37">
        <f t="shared" si="25"/>
        <v>-9.6286764705882358E-4</v>
      </c>
      <c r="E66" s="37">
        <f t="shared" si="25"/>
        <v>8.8235294117647065E-5</v>
      </c>
      <c r="F66" s="37">
        <f t="shared" si="25"/>
        <v>1.139338235294117E-3</v>
      </c>
      <c r="G66" s="37">
        <f t="shared" si="25"/>
        <v>2.1904411764705877E-3</v>
      </c>
      <c r="H66" s="38">
        <f t="shared" ref="H66:H84" si="26">IF(C66&lt;-$C$13,-$C$6,IF(C66&lt;=$C$13,C66*$C$7,$C$6))</f>
        <v>-4027.9411764705883</v>
      </c>
      <c r="I66" s="38">
        <f t="shared" ref="I66:I84" si="27">IF(D66&lt;-$C$13,-$C$6,IF(D66&lt;=$C$13,D66*$C$7,$C$6))</f>
        <v>-1925.7352941176471</v>
      </c>
      <c r="J66" s="38">
        <f t="shared" ref="J66:J84" si="28">IF(E66&lt;-$C$13,-$C$6,IF(E66&lt;=$C$13,E66*$C$7,$C$6))</f>
        <v>176.47058823529412</v>
      </c>
      <c r="K66" s="38">
        <f t="shared" ref="K66:K84" si="29">IF(F66&lt;-$C$13,-$C$6,IF(F66&lt;=$C$13,F66*$C$7,$C$6))</f>
        <v>2278.6764705882342</v>
      </c>
      <c r="L66" s="38">
        <f t="shared" ref="L66:L84" si="30">IF(G66&lt;-$C$13,-$C$6,IF(G66&lt;=$C$13,G66*$C$7,$C$6))</f>
        <v>4200</v>
      </c>
      <c r="M66" s="11">
        <f t="shared" si="18"/>
        <v>14.45</v>
      </c>
      <c r="N66" s="38">
        <f t="shared" si="1"/>
        <v>-19505.406344635176</v>
      </c>
      <c r="O66" s="38">
        <f t="shared" si="2"/>
        <v>-4426.6859563626404</v>
      </c>
      <c r="P66" s="38">
        <f t="shared" si="3"/>
        <v>447.09483449779214</v>
      </c>
      <c r="Q66" s="38">
        <f t="shared" si="4"/>
        <v>5773.1120504527389</v>
      </c>
      <c r="R66" s="38">
        <f t="shared" si="5"/>
        <v>21281.714122094905</v>
      </c>
      <c r="S66" s="38">
        <f t="shared" si="19"/>
        <v>-64483.124999999993</v>
      </c>
      <c r="T66" s="5">
        <f t="shared" si="6"/>
        <v>2.3235815308046655</v>
      </c>
      <c r="U66" s="5">
        <f t="shared" si="7"/>
        <v>0.26366448227584982</v>
      </c>
      <c r="V66" s="5">
        <f t="shared" si="8"/>
        <v>0</v>
      </c>
      <c r="W66" s="5">
        <f t="shared" si="9"/>
        <v>0.34386098650509112</v>
      </c>
      <c r="X66" s="5">
        <f t="shared" si="10"/>
        <v>2.5351841947945553</v>
      </c>
      <c r="Y66" s="5">
        <f t="shared" si="11"/>
        <v>6.6256410937499997</v>
      </c>
      <c r="Z66" s="5">
        <f t="shared" si="20"/>
        <v>12.091932288130161</v>
      </c>
      <c r="AA66" s="5">
        <f t="shared" si="21"/>
        <v>-60.913296293952371</v>
      </c>
      <c r="AB66" s="5">
        <f t="shared" si="22"/>
        <v>0.65779665314401625</v>
      </c>
      <c r="AC66" s="5">
        <f t="shared" si="23"/>
        <v>7.9540325891760864</v>
      </c>
      <c r="AD66" s="5">
        <f t="shared" si="12"/>
        <v>-40.068562434131678</v>
      </c>
    </row>
    <row r="67" spans="2:30" x14ac:dyDescent="0.3">
      <c r="B67" s="5">
        <f t="shared" si="24"/>
        <v>18</v>
      </c>
      <c r="C67" s="37">
        <f t="shared" si="25"/>
        <v>-2.0687500000000003E-3</v>
      </c>
      <c r="D67" s="37">
        <f t="shared" si="25"/>
        <v>-1.076041666666667E-3</v>
      </c>
      <c r="E67" s="37">
        <f t="shared" si="25"/>
        <v>-8.3333333333333331E-5</v>
      </c>
      <c r="F67" s="37">
        <f t="shared" si="25"/>
        <v>9.0937499999999948E-4</v>
      </c>
      <c r="G67" s="37">
        <f t="shared" si="25"/>
        <v>1.9020833333333331E-3</v>
      </c>
      <c r="H67" s="38">
        <f t="shared" si="26"/>
        <v>-4137.5000000000009</v>
      </c>
      <c r="I67" s="38">
        <f t="shared" si="27"/>
        <v>-2152.0833333333339</v>
      </c>
      <c r="J67" s="38">
        <f t="shared" si="28"/>
        <v>-166.66666666666666</v>
      </c>
      <c r="K67" s="38">
        <f t="shared" si="29"/>
        <v>1818.7499999999989</v>
      </c>
      <c r="L67" s="38">
        <f t="shared" si="30"/>
        <v>3804.1666666666661</v>
      </c>
      <c r="M67" s="11">
        <f t="shared" si="18"/>
        <v>15.299999999999999</v>
      </c>
      <c r="N67" s="38">
        <f t="shared" si="1"/>
        <v>-20060.549097469939</v>
      </c>
      <c r="O67" s="38">
        <f t="shared" si="2"/>
        <v>-5000.1471781108521</v>
      </c>
      <c r="P67" s="38">
        <f t="shared" si="3"/>
        <v>-422.25623258124813</v>
      </c>
      <c r="Q67" s="38">
        <f t="shared" si="4"/>
        <v>4607.8711380428676</v>
      </c>
      <c r="R67" s="38">
        <f t="shared" si="5"/>
        <v>19275.997017333975</v>
      </c>
      <c r="S67" s="38">
        <f t="shared" si="19"/>
        <v>-68276.25</v>
      </c>
      <c r="T67" s="5">
        <f t="shared" si="6"/>
        <v>2.3897129112361064</v>
      </c>
      <c r="U67" s="5">
        <f t="shared" si="7"/>
        <v>0.29782126629622768</v>
      </c>
      <c r="V67" s="5">
        <f t="shared" si="8"/>
        <v>0</v>
      </c>
      <c r="W67" s="5">
        <f t="shared" si="9"/>
        <v>0.27445632465967817</v>
      </c>
      <c r="X67" s="5">
        <f t="shared" si="10"/>
        <v>2.2962531446899095</v>
      </c>
      <c r="Y67" s="5">
        <f t="shared" si="11"/>
        <v>6.7252106250000008</v>
      </c>
      <c r="Z67" s="5">
        <f t="shared" si="20"/>
        <v>11.983454271881921</v>
      </c>
      <c r="AA67" s="5">
        <f t="shared" si="21"/>
        <v>-69.875334352785202</v>
      </c>
      <c r="AB67" s="5">
        <f t="shared" si="22"/>
        <v>0.65</v>
      </c>
      <c r="AC67" s="5">
        <f t="shared" si="23"/>
        <v>7.789245276723249</v>
      </c>
      <c r="AD67" s="5">
        <f t="shared" si="12"/>
        <v>-45.418967329310384</v>
      </c>
    </row>
    <row r="68" spans="2:30" x14ac:dyDescent="0.3">
      <c r="B68" s="5">
        <f t="shared" si="24"/>
        <v>19</v>
      </c>
      <c r="C68" s="37">
        <f t="shared" si="25"/>
        <v>-2.1177631578947372E-3</v>
      </c>
      <c r="D68" s="37">
        <f t="shared" si="25"/>
        <v>-1.1773026315789476E-3</v>
      </c>
      <c r="E68" s="37">
        <f t="shared" si="25"/>
        <v>-2.3684210526315791E-4</v>
      </c>
      <c r="F68" s="37">
        <f t="shared" si="25"/>
        <v>7.0361842105263117E-4</v>
      </c>
      <c r="G68" s="37">
        <f t="shared" si="25"/>
        <v>1.6440789473684207E-3</v>
      </c>
      <c r="H68" s="38">
        <f t="shared" si="26"/>
        <v>-4200</v>
      </c>
      <c r="I68" s="38">
        <f t="shared" si="27"/>
        <v>-2354.6052631578955</v>
      </c>
      <c r="J68" s="38">
        <f t="shared" si="28"/>
        <v>-473.68421052631584</v>
      </c>
      <c r="K68" s="38">
        <f t="shared" si="29"/>
        <v>1407.2368421052624</v>
      </c>
      <c r="L68" s="38">
        <f t="shared" si="30"/>
        <v>3288.1578947368412</v>
      </c>
      <c r="M68" s="11">
        <f t="shared" si="18"/>
        <v>16.149999999999999</v>
      </c>
      <c r="N68" s="38">
        <f t="shared" si="1"/>
        <v>-20377.24127190587</v>
      </c>
      <c r="O68" s="38">
        <f t="shared" si="2"/>
        <v>-5513.2440607276712</v>
      </c>
      <c r="P68" s="38">
        <f t="shared" si="3"/>
        <v>-1200.0966610203895</v>
      </c>
      <c r="Q68" s="38">
        <f t="shared" si="4"/>
        <v>3565.2871637814051</v>
      </c>
      <c r="R68" s="38">
        <f t="shared" si="5"/>
        <v>16661.341977166401</v>
      </c>
      <c r="S68" s="38">
        <f t="shared" si="19"/>
        <v>-72069.374999999985</v>
      </c>
      <c r="T68" s="5">
        <f t="shared" si="6"/>
        <v>2.4274388665157871</v>
      </c>
      <c r="U68" s="5">
        <f t="shared" si="7"/>
        <v>0.32838259936709197</v>
      </c>
      <c r="V68" s="5">
        <f t="shared" si="8"/>
        <v>0</v>
      </c>
      <c r="W68" s="5">
        <f t="shared" si="9"/>
        <v>0.21235741669272981</v>
      </c>
      <c r="X68" s="5">
        <f t="shared" si="10"/>
        <v>1.9847823630299473</v>
      </c>
      <c r="Y68" s="5">
        <f t="shared" si="11"/>
        <v>6.7925385937499989</v>
      </c>
      <c r="Z68" s="5">
        <f>SUM(T68:Y68)</f>
        <v>11.745499839355556</v>
      </c>
      <c r="AA68" s="5">
        <f t="shared" si="21"/>
        <v>-78.9333278527061</v>
      </c>
      <c r="AB68" s="5">
        <f t="shared" si="22"/>
        <v>0.65</v>
      </c>
      <c r="AC68" s="5">
        <f>Z68*AB68</f>
        <v>7.6345748955811121</v>
      </c>
      <c r="AD68" s="5">
        <f t="shared" si="12"/>
        <v>-51.306663104258966</v>
      </c>
    </row>
    <row r="69" spans="2:30" x14ac:dyDescent="0.3">
      <c r="B69" s="5">
        <f t="shared" si="24"/>
        <v>20</v>
      </c>
      <c r="C69" s="37">
        <f t="shared" si="25"/>
        <v>-2.1618750000000002E-3</v>
      </c>
      <c r="D69" s="37">
        <f t="shared" si="25"/>
        <v>-1.2684375E-3</v>
      </c>
      <c r="E69" s="37">
        <f t="shared" si="25"/>
        <v>-3.7500000000000001E-4</v>
      </c>
      <c r="F69" s="37">
        <f t="shared" si="25"/>
        <v>5.1843749999999958E-4</v>
      </c>
      <c r="G69" s="37">
        <f t="shared" si="25"/>
        <v>1.4118749999999997E-3</v>
      </c>
      <c r="H69" s="38">
        <f t="shared" si="26"/>
        <v>-4200</v>
      </c>
      <c r="I69" s="38">
        <f t="shared" si="27"/>
        <v>-2536.875</v>
      </c>
      <c r="J69" s="38">
        <f t="shared" si="28"/>
        <v>-750</v>
      </c>
      <c r="K69" s="38">
        <f t="shared" si="29"/>
        <v>1036.8749999999991</v>
      </c>
      <c r="L69" s="38">
        <f t="shared" si="30"/>
        <v>2823.7499999999995</v>
      </c>
      <c r="M69" s="11">
        <f t="shared" si="18"/>
        <v>17</v>
      </c>
      <c r="N69" s="38">
        <f t="shared" si="1"/>
        <v>-20377.24127190587</v>
      </c>
      <c r="O69" s="38">
        <f t="shared" si="2"/>
        <v>-5975.0312550828066</v>
      </c>
      <c r="P69" s="38">
        <f t="shared" si="3"/>
        <v>-1900.1530466156166</v>
      </c>
      <c r="Q69" s="38">
        <f t="shared" si="4"/>
        <v>2626.9615869460877</v>
      </c>
      <c r="R69" s="38">
        <f t="shared" si="5"/>
        <v>14308.152441015591</v>
      </c>
      <c r="S69" s="38">
        <f t="shared" si="19"/>
        <v>-75862.5</v>
      </c>
      <c r="T69" s="5">
        <f t="shared" si="6"/>
        <v>2.4274388665157871</v>
      </c>
      <c r="U69" s="5">
        <f t="shared" si="7"/>
        <v>0.35588779913086965</v>
      </c>
      <c r="V69" s="5">
        <f t="shared" si="8"/>
        <v>0</v>
      </c>
      <c r="W69" s="5">
        <f t="shared" si="9"/>
        <v>0.15646839952247626</v>
      </c>
      <c r="X69" s="5">
        <f t="shared" si="10"/>
        <v>1.7044586595359821</v>
      </c>
      <c r="Y69" s="5">
        <f t="shared" si="11"/>
        <v>6.8276250000000003</v>
      </c>
      <c r="Z69" s="5">
        <f t="shared" si="20"/>
        <v>11.471878724705114</v>
      </c>
      <c r="AA69" s="5">
        <f t="shared" si="21"/>
        <v>-87.179811545642622</v>
      </c>
      <c r="AB69" s="5">
        <f t="shared" si="22"/>
        <v>0.65</v>
      </c>
      <c r="AC69" s="5">
        <f t="shared" si="23"/>
        <v>7.4567211710583239</v>
      </c>
      <c r="AD69" s="5">
        <f t="shared" si="12"/>
        <v>-56.666877504667703</v>
      </c>
    </row>
    <row r="70" spans="2:30" x14ac:dyDescent="0.3">
      <c r="B70" s="5">
        <f t="shared" si="24"/>
        <v>21</v>
      </c>
      <c r="C70" s="37">
        <f t="shared" ref="C70:G84" si="31">$C$12*(C$36-$B70)/$B70</f>
        <v>-2.2017857142857147E-3</v>
      </c>
      <c r="D70" s="37">
        <f t="shared" si="31"/>
        <v>-1.3508928571428571E-3</v>
      </c>
      <c r="E70" s="37">
        <f t="shared" si="31"/>
        <v>-5.0000000000000001E-4</v>
      </c>
      <c r="F70" s="37">
        <f t="shared" si="31"/>
        <v>3.5089285714285675E-4</v>
      </c>
      <c r="G70" s="37">
        <f t="shared" si="31"/>
        <v>1.2017857142857138E-3</v>
      </c>
      <c r="H70" s="38">
        <f t="shared" si="26"/>
        <v>-4200</v>
      </c>
      <c r="I70" s="38">
        <f t="shared" si="27"/>
        <v>-2701.7857142857142</v>
      </c>
      <c r="J70" s="38">
        <f t="shared" si="28"/>
        <v>-1000</v>
      </c>
      <c r="K70" s="38">
        <f t="shared" si="29"/>
        <v>701.78571428571354</v>
      </c>
      <c r="L70" s="38">
        <f t="shared" si="30"/>
        <v>2403.5714285714275</v>
      </c>
      <c r="M70" s="11">
        <f t="shared" si="18"/>
        <v>17.849999999999998</v>
      </c>
      <c r="N70" s="38">
        <f t="shared" si="1"/>
        <v>-20377.24127190587</v>
      </c>
      <c r="O70" s="38">
        <f t="shared" si="2"/>
        <v>-6392.8387166422172</v>
      </c>
      <c r="P70" s="38">
        <f t="shared" si="3"/>
        <v>-2081.300970392972</v>
      </c>
      <c r="Q70" s="38">
        <f t="shared" si="4"/>
        <v>1778.0003507617537</v>
      </c>
      <c r="R70" s="38">
        <f t="shared" si="5"/>
        <v>12179.076194021995</v>
      </c>
      <c r="S70" s="38">
        <f t="shared" si="19"/>
        <v>-79655.624999999985</v>
      </c>
      <c r="T70" s="5">
        <f t="shared" si="6"/>
        <v>2.4274388665157871</v>
      </c>
      <c r="U70" s="5">
        <f t="shared" si="7"/>
        <v>0.38077345606000212</v>
      </c>
      <c r="V70" s="5">
        <f t="shared" si="8"/>
        <v>0</v>
      </c>
      <c r="W70" s="5">
        <f t="shared" si="9"/>
        <v>0.1059021458922469</v>
      </c>
      <c r="X70" s="5">
        <f t="shared" si="10"/>
        <v>1.4508324516128699</v>
      </c>
      <c r="Y70" s="5">
        <f t="shared" si="11"/>
        <v>6.8304698437500004</v>
      </c>
      <c r="Z70" s="5">
        <f t="shared" si="20"/>
        <v>11.195416763830906</v>
      </c>
      <c r="AA70" s="5">
        <f t="shared" si="21"/>
        <v>-94.54992941415729</v>
      </c>
      <c r="AB70" s="5">
        <f t="shared" si="22"/>
        <v>0.65</v>
      </c>
      <c r="AC70" s="5">
        <f t="shared" si="23"/>
        <v>7.2770208964900887</v>
      </c>
      <c r="AD70" s="5">
        <f t="shared" si="12"/>
        <v>-61.457454119202239</v>
      </c>
    </row>
    <row r="71" spans="2:30" x14ac:dyDescent="0.3">
      <c r="B71" s="5">
        <f t="shared" si="24"/>
        <v>22</v>
      </c>
      <c r="C71" s="37">
        <f t="shared" si="31"/>
        <v>-2.2380681818181818E-3</v>
      </c>
      <c r="D71" s="37">
        <f t="shared" si="31"/>
        <v>-1.4258522727272729E-3</v>
      </c>
      <c r="E71" s="37">
        <f t="shared" si="31"/>
        <v>-6.1363636363636362E-4</v>
      </c>
      <c r="F71" s="37">
        <f t="shared" si="31"/>
        <v>1.9857954545454508E-4</v>
      </c>
      <c r="G71" s="37">
        <f t="shared" si="31"/>
        <v>1.0107954545454543E-3</v>
      </c>
      <c r="H71" s="38">
        <f t="shared" si="26"/>
        <v>-4200</v>
      </c>
      <c r="I71" s="38">
        <f t="shared" si="27"/>
        <v>-2851.704545454546</v>
      </c>
      <c r="J71" s="38">
        <f t="shared" si="28"/>
        <v>-1227.2727272727273</v>
      </c>
      <c r="K71" s="38">
        <f t="shared" si="29"/>
        <v>397.15909090909014</v>
      </c>
      <c r="L71" s="38">
        <f t="shared" si="30"/>
        <v>2021.5909090909086</v>
      </c>
      <c r="M71" s="11">
        <f t="shared" si="18"/>
        <v>18.7</v>
      </c>
      <c r="N71" s="38">
        <f t="shared" si="1"/>
        <v>-20377.24127190587</v>
      </c>
      <c r="O71" s="38">
        <f t="shared" si="2"/>
        <v>-6772.6636816962273</v>
      </c>
      <c r="P71" s="38">
        <f t="shared" si="3"/>
        <v>-2657.1049239128561</v>
      </c>
      <c r="Q71" s="38">
        <f t="shared" si="4"/>
        <v>1006.2174087759951</v>
      </c>
      <c r="R71" s="38">
        <f t="shared" si="5"/>
        <v>10243.552333118731</v>
      </c>
      <c r="S71" s="38">
        <f t="shared" si="19"/>
        <v>-83448.75</v>
      </c>
      <c r="T71" s="5">
        <f t="shared" si="6"/>
        <v>2.4274388665157871</v>
      </c>
      <c r="U71" s="5">
        <f t="shared" si="7"/>
        <v>0.40339678054103162</v>
      </c>
      <c r="V71" s="5">
        <f t="shared" si="8"/>
        <v>0</v>
      </c>
      <c r="W71" s="5">
        <f t="shared" si="9"/>
        <v>5.9932824410220173E-2</v>
      </c>
      <c r="X71" s="5">
        <f t="shared" si="10"/>
        <v>1.2202631716827685</v>
      </c>
      <c r="Y71" s="5">
        <f t="shared" si="11"/>
        <v>6.8010731250000003</v>
      </c>
      <c r="Z71" s="5">
        <f t="shared" si="20"/>
        <v>10.912104768149808</v>
      </c>
      <c r="AA71" s="5">
        <f t="shared" si="21"/>
        <v>-102.00599013562024</v>
      </c>
      <c r="AB71" s="5">
        <f t="shared" si="22"/>
        <v>0.65</v>
      </c>
      <c r="AC71" s="5">
        <f t="shared" si="23"/>
        <v>7.0928680992973758</v>
      </c>
      <c r="AD71" s="5">
        <f t="shared" si="12"/>
        <v>-66.303893588153159</v>
      </c>
    </row>
    <row r="72" spans="2:30" x14ac:dyDescent="0.3">
      <c r="B72" s="5">
        <f t="shared" si="24"/>
        <v>23</v>
      </c>
      <c r="C72" s="37">
        <f t="shared" si="31"/>
        <v>-2.2711956521739131E-3</v>
      </c>
      <c r="D72" s="37">
        <f t="shared" si="31"/>
        <v>-1.4942934782608698E-3</v>
      </c>
      <c r="E72" s="37">
        <f t="shared" si="31"/>
        <v>-7.1739130434782608E-4</v>
      </c>
      <c r="F72" s="37">
        <f t="shared" si="31"/>
        <v>5.9510869565217024E-5</v>
      </c>
      <c r="G72" s="37">
        <f t="shared" si="31"/>
        <v>8.3641304347826064E-4</v>
      </c>
      <c r="H72" s="38">
        <f t="shared" si="26"/>
        <v>-4200</v>
      </c>
      <c r="I72" s="38">
        <f t="shared" si="27"/>
        <v>-2988.5869565217395</v>
      </c>
      <c r="J72" s="38">
        <f t="shared" si="28"/>
        <v>-1434.7826086956522</v>
      </c>
      <c r="K72" s="38">
        <f t="shared" si="29"/>
        <v>119.02173913043404</v>
      </c>
      <c r="L72" s="38">
        <f t="shared" si="30"/>
        <v>1672.8260869565213</v>
      </c>
      <c r="M72" s="11">
        <f t="shared" si="18"/>
        <v>19.55</v>
      </c>
      <c r="N72" s="38">
        <f t="shared" si="1"/>
        <v>-20377.24127190587</v>
      </c>
      <c r="O72" s="38">
        <f t="shared" si="2"/>
        <v>-7119.4603889194523</v>
      </c>
      <c r="P72" s="38">
        <f t="shared" si="3"/>
        <v>-3182.8389684310114</v>
      </c>
      <c r="Q72" s="38">
        <f t="shared" si="4"/>
        <v>301.54602696291118</v>
      </c>
      <c r="R72" s="38">
        <f t="shared" si="5"/>
        <v>8476.3348949027059</v>
      </c>
      <c r="S72" s="38">
        <f t="shared" si="19"/>
        <v>-87241.875</v>
      </c>
      <c r="T72" s="5">
        <f t="shared" si="6"/>
        <v>2.4274388665157871</v>
      </c>
      <c r="U72" s="5">
        <f t="shared" si="7"/>
        <v>0.42405285941501492</v>
      </c>
      <c r="V72" s="5">
        <f t="shared" si="8"/>
        <v>0</v>
      </c>
      <c r="W72" s="5">
        <f t="shared" si="9"/>
        <v>1.7960835230978391E-2</v>
      </c>
      <c r="X72" s="5">
        <f t="shared" si="10"/>
        <v>1.0097433943552847</v>
      </c>
      <c r="Y72" s="5">
        <f t="shared" si="11"/>
        <v>6.7394348437499998</v>
      </c>
      <c r="Z72" s="5">
        <f t="shared" si="20"/>
        <v>10.618630799267065</v>
      </c>
      <c r="AA72" s="5">
        <f t="shared" si="21"/>
        <v>-109.14353470739071</v>
      </c>
      <c r="AB72" s="5">
        <f t="shared" si="22"/>
        <v>0.65</v>
      </c>
      <c r="AC72" s="5">
        <f t="shared" si="23"/>
        <v>6.902110019523592</v>
      </c>
      <c r="AD72" s="5">
        <f t="shared" si="12"/>
        <v>-70.943297559803966</v>
      </c>
    </row>
    <row r="73" spans="2:30" x14ac:dyDescent="0.3">
      <c r="B73" s="5">
        <f t="shared" si="24"/>
        <v>24</v>
      </c>
      <c r="C73" s="37">
        <f t="shared" si="31"/>
        <v>-2.3015625000000002E-3</v>
      </c>
      <c r="D73" s="37">
        <f t="shared" si="31"/>
        <v>-1.5570312500000003E-3</v>
      </c>
      <c r="E73" s="37">
        <f t="shared" si="31"/>
        <v>-8.1249999999999996E-4</v>
      </c>
      <c r="F73" s="37">
        <f t="shared" si="31"/>
        <v>-6.7968750000000361E-5</v>
      </c>
      <c r="G73" s="37">
        <f t="shared" si="31"/>
        <v>6.7656249999999976E-4</v>
      </c>
      <c r="H73" s="38">
        <f t="shared" si="26"/>
        <v>-4200</v>
      </c>
      <c r="I73" s="38">
        <f t="shared" si="27"/>
        <v>-3114.0625000000005</v>
      </c>
      <c r="J73" s="38">
        <f t="shared" si="28"/>
        <v>-1625</v>
      </c>
      <c r="K73" s="38">
        <f t="shared" si="29"/>
        <v>-135.93750000000071</v>
      </c>
      <c r="L73" s="38">
        <f t="shared" si="30"/>
        <v>1353.1249999999995</v>
      </c>
      <c r="M73" s="11">
        <f t="shared" si="18"/>
        <v>20.399999999999999</v>
      </c>
      <c r="N73" s="38">
        <f t="shared" si="1"/>
        <v>-20377.24127190587</v>
      </c>
      <c r="O73" s="38">
        <f t="shared" si="2"/>
        <v>-7437.3573705407434</v>
      </c>
      <c r="P73" s="38">
        <f t="shared" si="3"/>
        <v>-3664.7618425726532</v>
      </c>
      <c r="Q73" s="38">
        <f t="shared" si="4"/>
        <v>-344.4027396990823</v>
      </c>
      <c r="R73" s="38">
        <f t="shared" si="5"/>
        <v>6856.3855765380149</v>
      </c>
      <c r="S73" s="38">
        <f t="shared" si="19"/>
        <v>-91034.999999999985</v>
      </c>
      <c r="T73" s="5">
        <f t="shared" si="6"/>
        <v>2.4274388665157871</v>
      </c>
      <c r="U73" s="5">
        <f t="shared" si="7"/>
        <v>0.44298759838283308</v>
      </c>
      <c r="V73" s="5">
        <f t="shared" si="8"/>
        <v>0</v>
      </c>
      <c r="W73" s="5">
        <f t="shared" si="9"/>
        <v>-2.0513488183326579E-2</v>
      </c>
      <c r="X73" s="5">
        <f t="shared" si="10"/>
        <v>0.81676693180509086</v>
      </c>
      <c r="Y73" s="5">
        <f t="shared" si="11"/>
        <v>6.6455549999999999</v>
      </c>
      <c r="Z73" s="5">
        <f t="shared" si="20"/>
        <v>10.312234908520384</v>
      </c>
      <c r="AA73" s="5">
        <f t="shared" si="21"/>
        <v>-116.00237764818033</v>
      </c>
      <c r="AB73" s="5">
        <f t="shared" si="22"/>
        <v>0.65</v>
      </c>
      <c r="AC73" s="5">
        <f t="shared" si="23"/>
        <v>6.7029526905382504</v>
      </c>
      <c r="AD73" s="5">
        <f t="shared" si="12"/>
        <v>-75.40154547131722</v>
      </c>
    </row>
    <row r="74" spans="2:30" x14ac:dyDescent="0.3">
      <c r="B74" s="5">
        <f t="shared" si="24"/>
        <v>25</v>
      </c>
      <c r="C74" s="37">
        <f t="shared" si="31"/>
        <v>-2.3295E-3</v>
      </c>
      <c r="D74" s="37">
        <f t="shared" si="31"/>
        <v>-1.6147500000000001E-3</v>
      </c>
      <c r="E74" s="37">
        <f t="shared" si="31"/>
        <v>-8.9999999999999998E-4</v>
      </c>
      <c r="F74" s="37">
        <f t="shared" si="31"/>
        <v>-1.8525000000000036E-4</v>
      </c>
      <c r="G74" s="37">
        <f t="shared" si="31"/>
        <v>5.2949999999999981E-4</v>
      </c>
      <c r="H74" s="38">
        <f t="shared" si="26"/>
        <v>-4200</v>
      </c>
      <c r="I74" s="38">
        <f t="shared" si="27"/>
        <v>-3229.5</v>
      </c>
      <c r="J74" s="38">
        <f t="shared" si="28"/>
        <v>-1800</v>
      </c>
      <c r="K74" s="38">
        <f t="shared" si="29"/>
        <v>-370.50000000000074</v>
      </c>
      <c r="L74" s="38">
        <f t="shared" si="30"/>
        <v>1058.9999999999995</v>
      </c>
      <c r="M74" s="11">
        <f t="shared" si="18"/>
        <v>21.25</v>
      </c>
      <c r="N74" s="38">
        <f t="shared" si="1"/>
        <v>-20377.24127190587</v>
      </c>
      <c r="O74" s="38">
        <f t="shared" si="2"/>
        <v>-7729.8225936323288</v>
      </c>
      <c r="P74" s="38">
        <f t="shared" si="3"/>
        <v>-4108.1308867829639</v>
      </c>
      <c r="Q74" s="38">
        <f t="shared" si="4"/>
        <v>-938.67560502811648</v>
      </c>
      <c r="R74" s="38">
        <f t="shared" si="5"/>
        <v>5366.0322036424996</v>
      </c>
      <c r="S74" s="38">
        <f t="shared" si="19"/>
        <v>-94828.125</v>
      </c>
      <c r="T74" s="5">
        <f t="shared" si="6"/>
        <v>2.4274388665157871</v>
      </c>
      <c r="U74" s="5">
        <f t="shared" si="7"/>
        <v>0.46040755823322566</v>
      </c>
      <c r="V74" s="5">
        <f t="shared" si="8"/>
        <v>0</v>
      </c>
      <c r="W74" s="5">
        <f t="shared" si="9"/>
        <v>-5.5909865724487161E-2</v>
      </c>
      <c r="X74" s="5">
        <f t="shared" si="10"/>
        <v>0.63922858625891266</v>
      </c>
      <c r="Y74" s="5">
        <f t="shared" si="11"/>
        <v>6.5194335937499996</v>
      </c>
      <c r="Z74" s="5">
        <f t="shared" si="20"/>
        <v>9.9905987390334374</v>
      </c>
      <c r="AA74" s="5">
        <f t="shared" si="21"/>
        <v>-122.61596315370677</v>
      </c>
      <c r="AB74" s="5">
        <f t="shared" si="22"/>
        <v>0.65</v>
      </c>
      <c r="AC74" s="5">
        <f t="shared" si="23"/>
        <v>6.4938891803717347</v>
      </c>
      <c r="AD74" s="5">
        <f t="shared" si="12"/>
        <v>-79.700376049909408</v>
      </c>
    </row>
    <row r="75" spans="2:30" x14ac:dyDescent="0.3">
      <c r="B75" s="5">
        <f t="shared" si="24"/>
        <v>26</v>
      </c>
      <c r="C75" s="37">
        <f t="shared" si="31"/>
        <v>-2.3552884615384616E-3</v>
      </c>
      <c r="D75" s="37">
        <f t="shared" si="31"/>
        <v>-1.6680288461538464E-3</v>
      </c>
      <c r="E75" s="37">
        <f t="shared" si="31"/>
        <v>-9.8076923076923081E-4</v>
      </c>
      <c r="F75" s="37">
        <f t="shared" si="31"/>
        <v>-2.9350961538461573E-4</v>
      </c>
      <c r="G75" s="37">
        <f t="shared" si="31"/>
        <v>3.9374999999999973E-4</v>
      </c>
      <c r="H75" s="38">
        <f t="shared" si="26"/>
        <v>-4200</v>
      </c>
      <c r="I75" s="38">
        <f t="shared" si="27"/>
        <v>-3336.0576923076928</v>
      </c>
      <c r="J75" s="38">
        <f t="shared" si="28"/>
        <v>-1961.5384615384617</v>
      </c>
      <c r="K75" s="38">
        <f t="shared" si="29"/>
        <v>-587.0192307692314</v>
      </c>
      <c r="L75" s="38">
        <f t="shared" si="30"/>
        <v>787.49999999999943</v>
      </c>
      <c r="M75" s="11">
        <f t="shared" si="18"/>
        <v>22.099999999999998</v>
      </c>
      <c r="N75" s="38">
        <f t="shared" si="1"/>
        <v>-20377.24127190587</v>
      </c>
      <c r="O75" s="38">
        <f t="shared" si="2"/>
        <v>-7999.7904918707181</v>
      </c>
      <c r="P75" s="38">
        <f t="shared" si="3"/>
        <v>-4517.3946199001739</v>
      </c>
      <c r="Q75" s="38">
        <f t="shared" si="4"/>
        <v>-1487.2351730241478</v>
      </c>
      <c r="R75" s="38">
        <f t="shared" si="5"/>
        <v>3990.321397892792</v>
      </c>
      <c r="S75" s="38">
        <f t="shared" si="19"/>
        <v>-98621.249999999985</v>
      </c>
      <c r="T75" s="5">
        <f t="shared" si="6"/>
        <v>2.4274388665157871</v>
      </c>
      <c r="U75" s="5">
        <f t="shared" si="7"/>
        <v>0.47648752117204968</v>
      </c>
      <c r="V75" s="5">
        <f t="shared" si="8"/>
        <v>0</v>
      </c>
      <c r="W75" s="5">
        <f t="shared" si="9"/>
        <v>-8.8583444993250757E-2</v>
      </c>
      <c r="X75" s="5">
        <f t="shared" si="10"/>
        <v>0.47534703652397875</v>
      </c>
      <c r="Y75" s="5">
        <f t="shared" si="11"/>
        <v>6.361070625</v>
      </c>
      <c r="Z75" s="5">
        <f t="shared" si="20"/>
        <v>9.6517606042185644</v>
      </c>
      <c r="AA75" s="5">
        <f t="shared" si="21"/>
        <v>-129.01259015880811</v>
      </c>
      <c r="AB75" s="5">
        <f t="shared" si="22"/>
        <v>0.65</v>
      </c>
      <c r="AC75" s="5">
        <f t="shared" si="23"/>
        <v>6.2736443927420673</v>
      </c>
      <c r="AD75" s="5">
        <f t="shared" si="12"/>
        <v>-83.858183603225271</v>
      </c>
    </row>
    <row r="76" spans="2:30" x14ac:dyDescent="0.3">
      <c r="B76" s="5">
        <f t="shared" si="24"/>
        <v>27</v>
      </c>
      <c r="C76" s="37">
        <f t="shared" si="31"/>
        <v>-2.3791666666666666E-3</v>
      </c>
      <c r="D76" s="37">
        <f t="shared" si="31"/>
        <v>-1.7173611111111111E-3</v>
      </c>
      <c r="E76" s="37">
        <f t="shared" si="31"/>
        <v>-1.0555555555555557E-3</v>
      </c>
      <c r="F76" s="37">
        <f t="shared" si="31"/>
        <v>-3.9375000000000033E-4</v>
      </c>
      <c r="G76" s="37">
        <f t="shared" si="31"/>
        <v>2.6805555555555534E-4</v>
      </c>
      <c r="H76" s="38">
        <f t="shared" si="26"/>
        <v>-4200</v>
      </c>
      <c r="I76" s="38">
        <f t="shared" si="27"/>
        <v>-3434.7222222222222</v>
      </c>
      <c r="J76" s="38">
        <f t="shared" si="28"/>
        <v>-2111.1111111111113</v>
      </c>
      <c r="K76" s="38">
        <f t="shared" si="29"/>
        <v>-787.50000000000068</v>
      </c>
      <c r="L76" s="38">
        <f t="shared" si="30"/>
        <v>536.11111111111063</v>
      </c>
      <c r="M76" s="11">
        <f t="shared" si="18"/>
        <v>22.95</v>
      </c>
      <c r="N76" s="38">
        <f t="shared" si="1"/>
        <v>-20377.24127190587</v>
      </c>
      <c r="O76" s="38">
        <f t="shared" si="2"/>
        <v>-8249.7607680173714</v>
      </c>
      <c r="P76" s="38">
        <f t="shared" si="3"/>
        <v>-4896.3425209346269</v>
      </c>
      <c r="Q76" s="38">
        <f t="shared" si="4"/>
        <v>-1995.1606989463992</v>
      </c>
      <c r="R76" s="38">
        <f t="shared" si="5"/>
        <v>2716.5150962726939</v>
      </c>
      <c r="S76" s="38">
        <f t="shared" si="19"/>
        <v>-102414.375</v>
      </c>
      <c r="T76" s="5">
        <f t="shared" si="6"/>
        <v>2.4274388665157871</v>
      </c>
      <c r="U76" s="5">
        <f t="shared" si="7"/>
        <v>0.49137637574503473</v>
      </c>
      <c r="V76" s="5">
        <f t="shared" si="8"/>
        <v>0</v>
      </c>
      <c r="W76" s="5">
        <f t="shared" si="9"/>
        <v>-0.11883675913099485</v>
      </c>
      <c r="X76" s="5">
        <f t="shared" si="10"/>
        <v>0.32360486084348461</v>
      </c>
      <c r="Y76" s="5">
        <f t="shared" si="11"/>
        <v>6.17046609375</v>
      </c>
      <c r="Z76" s="5">
        <f t="shared" si="20"/>
        <v>9.2940494377233112</v>
      </c>
      <c r="AA76" s="5">
        <f t="shared" si="21"/>
        <v>-135.21636516353155</v>
      </c>
      <c r="AB76" s="5">
        <f t="shared" si="22"/>
        <v>0.65</v>
      </c>
      <c r="AC76" s="5">
        <f t="shared" si="23"/>
        <v>6.0411321345201525</v>
      </c>
      <c r="AD76" s="5">
        <f t="shared" si="12"/>
        <v>-87.890637356295514</v>
      </c>
    </row>
    <row r="77" spans="2:30" x14ac:dyDescent="0.3">
      <c r="B77" s="5">
        <f t="shared" si="24"/>
        <v>28</v>
      </c>
      <c r="C77" s="37">
        <f t="shared" si="31"/>
        <v>-2.4013392857142857E-3</v>
      </c>
      <c r="D77" s="37">
        <f t="shared" si="31"/>
        <v>-1.7631696428571429E-3</v>
      </c>
      <c r="E77" s="37">
        <f t="shared" si="31"/>
        <v>-1.1249999999999999E-3</v>
      </c>
      <c r="F77" s="37">
        <f t="shared" si="31"/>
        <v>-4.8683035714285744E-4</v>
      </c>
      <c r="G77" s="37">
        <f t="shared" si="31"/>
        <v>1.5133928571428549E-4</v>
      </c>
      <c r="H77" s="38">
        <f t="shared" si="26"/>
        <v>-4200</v>
      </c>
      <c r="I77" s="38">
        <f t="shared" si="27"/>
        <v>-3526.3392857142858</v>
      </c>
      <c r="J77" s="38">
        <f t="shared" si="28"/>
        <v>-2250</v>
      </c>
      <c r="K77" s="38">
        <f t="shared" si="29"/>
        <v>-973.6607142857149</v>
      </c>
      <c r="L77" s="38">
        <f t="shared" si="30"/>
        <v>302.67857142857099</v>
      </c>
      <c r="M77" s="11">
        <f t="shared" si="18"/>
        <v>23.8</v>
      </c>
      <c r="N77" s="38">
        <f t="shared" si="1"/>
        <v>-20377.24127190587</v>
      </c>
      <c r="O77" s="38">
        <f t="shared" si="2"/>
        <v>-8481.876024439267</v>
      </c>
      <c r="P77" s="38">
        <f t="shared" si="3"/>
        <v>-5248.2227147523336</v>
      </c>
      <c r="Q77" s="38">
        <f t="shared" si="4"/>
        <v>-2014.5694050654013</v>
      </c>
      <c r="R77" s="38">
        <f t="shared" si="5"/>
        <v>1533.6949590540312</v>
      </c>
      <c r="S77" s="38">
        <f t="shared" si="19"/>
        <v>-106207.5</v>
      </c>
      <c r="T77" s="5">
        <f t="shared" si="6"/>
        <v>2.4274388665157871</v>
      </c>
      <c r="U77" s="5">
        <f t="shared" si="7"/>
        <v>0.50520174070566393</v>
      </c>
      <c r="V77" s="5">
        <f t="shared" si="8"/>
        <v>0</v>
      </c>
      <c r="W77" s="5">
        <f t="shared" si="9"/>
        <v>-0.1199927901892079</v>
      </c>
      <c r="X77" s="5">
        <f t="shared" si="10"/>
        <v>0.18270141199731144</v>
      </c>
      <c r="Y77" s="5">
        <f t="shared" si="11"/>
        <v>5.9476199999999997</v>
      </c>
      <c r="Z77" s="5">
        <f t="shared" si="20"/>
        <v>8.9429692290295542</v>
      </c>
      <c r="AA77" s="5">
        <f t="shared" si="21"/>
        <v>-140.79571445710883</v>
      </c>
      <c r="AB77" s="5">
        <f t="shared" si="22"/>
        <v>0.65</v>
      </c>
      <c r="AC77" s="5">
        <f t="shared" si="23"/>
        <v>5.81292999886921</v>
      </c>
      <c r="AD77" s="5">
        <f t="shared" si="12"/>
        <v>-91.517214397120739</v>
      </c>
    </row>
    <row r="78" spans="2:30" x14ac:dyDescent="0.3">
      <c r="B78" s="5">
        <f t="shared" si="24"/>
        <v>29</v>
      </c>
      <c r="C78" s="37">
        <f t="shared" si="31"/>
        <v>-2.4219827586206897E-3</v>
      </c>
      <c r="D78" s="37">
        <f t="shared" si="31"/>
        <v>-1.8058189655172415E-3</v>
      </c>
      <c r="E78" s="37">
        <f t="shared" si="31"/>
        <v>-1.1896551724137933E-3</v>
      </c>
      <c r="F78" s="37">
        <f t="shared" si="31"/>
        <v>-5.7349137931034504E-4</v>
      </c>
      <c r="G78" s="37">
        <f t="shared" si="31"/>
        <v>4.2672413793103231E-5</v>
      </c>
      <c r="H78" s="38">
        <f t="shared" si="26"/>
        <v>-4200</v>
      </c>
      <c r="I78" s="38">
        <f t="shared" si="27"/>
        <v>-3611.6379310344832</v>
      </c>
      <c r="J78" s="38">
        <f t="shared" si="28"/>
        <v>-2379.3103448275865</v>
      </c>
      <c r="K78" s="38">
        <f t="shared" si="29"/>
        <v>-1146.98275862069</v>
      </c>
      <c r="L78" s="38">
        <f t="shared" si="30"/>
        <v>85.344827586206463</v>
      </c>
      <c r="M78" s="11">
        <f t="shared" si="18"/>
        <v>24.65</v>
      </c>
      <c r="N78" s="38">
        <f t="shared" si="1"/>
        <v>-20377.24127190587</v>
      </c>
      <c r="O78" s="38">
        <f t="shared" si="2"/>
        <v>-8697.9833321424103</v>
      </c>
      <c r="P78" s="38">
        <f t="shared" si="3"/>
        <v>-5575.8353089964057</v>
      </c>
      <c r="Q78" s="38">
        <f t="shared" si="4"/>
        <v>-2453.6872858504012</v>
      </c>
      <c r="R78" s="38">
        <f t="shared" si="5"/>
        <v>432.44862440217264</v>
      </c>
      <c r="S78" s="38">
        <f t="shared" si="19"/>
        <v>-110000.62499999999</v>
      </c>
      <c r="T78" s="5">
        <f t="shared" si="6"/>
        <v>2.4274388665157871</v>
      </c>
      <c r="U78" s="5">
        <f t="shared" si="7"/>
        <v>0.51807363222073244</v>
      </c>
      <c r="V78" s="5">
        <f t="shared" si="8"/>
        <v>0</v>
      </c>
      <c r="W78" s="5">
        <f t="shared" si="9"/>
        <v>-0.14614774896346447</v>
      </c>
      <c r="X78" s="5">
        <f t="shared" si="10"/>
        <v>5.1515442381908805E-2</v>
      </c>
      <c r="Y78" s="5">
        <f t="shared" si="11"/>
        <v>5.6925323437499999</v>
      </c>
      <c r="Z78" s="5">
        <f t="shared" si="20"/>
        <v>8.5434125359049631</v>
      </c>
      <c r="AA78" s="5">
        <f t="shared" si="21"/>
        <v>-146.6729235744929</v>
      </c>
      <c r="AB78" s="5">
        <f t="shared" si="22"/>
        <v>0.65</v>
      </c>
      <c r="AC78" s="5">
        <f t="shared" si="23"/>
        <v>5.5532181483382264</v>
      </c>
      <c r="AD78" s="5">
        <f t="shared" si="12"/>
        <v>-95.337400323420383</v>
      </c>
    </row>
    <row r="79" spans="2:30" x14ac:dyDescent="0.3">
      <c r="B79" s="5">
        <f t="shared" si="24"/>
        <v>30</v>
      </c>
      <c r="C79" s="37">
        <f t="shared" si="31"/>
        <v>-2.4412500000000003E-3</v>
      </c>
      <c r="D79" s="37">
        <f t="shared" si="31"/>
        <v>-1.845625E-3</v>
      </c>
      <c r="E79" s="37">
        <f t="shared" si="31"/>
        <v>-1.25E-3</v>
      </c>
      <c r="F79" s="37">
        <f t="shared" si="31"/>
        <v>-6.5437500000000033E-4</v>
      </c>
      <c r="G79" s="37">
        <f t="shared" si="31"/>
        <v>-5.8750000000000215E-5</v>
      </c>
      <c r="H79" s="38">
        <f t="shared" si="26"/>
        <v>-4200</v>
      </c>
      <c r="I79" s="38">
        <f t="shared" si="27"/>
        <v>-3691.25</v>
      </c>
      <c r="J79" s="38">
        <f t="shared" si="28"/>
        <v>-2500</v>
      </c>
      <c r="K79" s="38">
        <f t="shared" si="29"/>
        <v>-1308.7500000000007</v>
      </c>
      <c r="L79" s="38">
        <f t="shared" si="30"/>
        <v>-117.50000000000043</v>
      </c>
      <c r="M79" s="11">
        <f t="shared" si="18"/>
        <v>25.5</v>
      </c>
      <c r="N79" s="38">
        <f t="shared" si="1"/>
        <v>-20377.24127190587</v>
      </c>
      <c r="O79" s="38">
        <f t="shared" si="2"/>
        <v>-8899.6834859986757</v>
      </c>
      <c r="P79" s="38">
        <f t="shared" si="3"/>
        <v>-5881.6070636242057</v>
      </c>
      <c r="Q79" s="38">
        <f t="shared" si="4"/>
        <v>-2863.5306412497357</v>
      </c>
      <c r="R79" s="38">
        <f t="shared" si="5"/>
        <v>-595.38128793956207</v>
      </c>
      <c r="S79" s="38">
        <f t="shared" si="19"/>
        <v>-113793.75</v>
      </c>
      <c r="T79" s="5">
        <f t="shared" si="6"/>
        <v>2.4274388665157871</v>
      </c>
      <c r="U79" s="5">
        <f t="shared" si="7"/>
        <v>0.53008739763479618</v>
      </c>
      <c r="V79" s="5">
        <f t="shared" si="8"/>
        <v>0</v>
      </c>
      <c r="W79" s="5">
        <f t="shared" si="9"/>
        <v>-0.17055904381943729</v>
      </c>
      <c r="X79" s="5">
        <f t="shared" si="10"/>
        <v>-7.0924795925800324E-2</v>
      </c>
      <c r="Y79" s="5">
        <f t="shared" si="11"/>
        <v>5.4052031249999999</v>
      </c>
      <c r="Z79" s="5">
        <f t="shared" si="20"/>
        <v>8.1212455494053462</v>
      </c>
      <c r="AA79" s="5">
        <f t="shared" si="21"/>
        <v>-152.41119375071804</v>
      </c>
      <c r="AB79" s="5">
        <f t="shared" si="22"/>
        <v>0.65</v>
      </c>
      <c r="AC79" s="5">
        <f t="shared" si="23"/>
        <v>5.2788096071134749</v>
      </c>
      <c r="AD79" s="5">
        <f t="shared" si="12"/>
        <v>-99.067275937966727</v>
      </c>
    </row>
    <row r="80" spans="2:30" x14ac:dyDescent="0.3">
      <c r="B80" s="5">
        <f t="shared" si="24"/>
        <v>31</v>
      </c>
      <c r="C80" s="37">
        <f t="shared" si="31"/>
        <v>-2.459274193548387E-3</v>
      </c>
      <c r="D80" s="37">
        <f t="shared" si="31"/>
        <v>-1.8828629032258066E-3</v>
      </c>
      <c r="E80" s="37">
        <f t="shared" si="31"/>
        <v>-1.3064516129032259E-3</v>
      </c>
      <c r="F80" s="37">
        <f t="shared" si="31"/>
        <v>-7.3004032258064541E-4</v>
      </c>
      <c r="G80" s="37">
        <f t="shared" si="31"/>
        <v>-1.5362903225806472E-4</v>
      </c>
      <c r="H80" s="38">
        <f t="shared" si="26"/>
        <v>-4200</v>
      </c>
      <c r="I80" s="38">
        <f t="shared" si="27"/>
        <v>-3765.7258064516132</v>
      </c>
      <c r="J80" s="38">
        <f t="shared" si="28"/>
        <v>-2612.9032258064517</v>
      </c>
      <c r="K80" s="38">
        <f t="shared" si="29"/>
        <v>-1460.0806451612907</v>
      </c>
      <c r="L80" s="38">
        <f t="shared" si="30"/>
        <v>-307.25806451612942</v>
      </c>
      <c r="M80" s="11">
        <f t="shared" si="18"/>
        <v>26.349999999999998</v>
      </c>
      <c r="N80" s="38">
        <f t="shared" si="1"/>
        <v>-20377.24127190587</v>
      </c>
      <c r="O80" s="38">
        <f t="shared" si="2"/>
        <v>-9088.3707267029258</v>
      </c>
      <c r="P80" s="38">
        <f t="shared" si="3"/>
        <v>-6167.651608276019</v>
      </c>
      <c r="Q80" s="38">
        <f t="shared" si="4"/>
        <v>-3246.9324898491122</v>
      </c>
      <c r="R80" s="38">
        <f t="shared" si="5"/>
        <v>-1556.8995930334427</v>
      </c>
      <c r="S80" s="38">
        <f t="shared" si="19"/>
        <v>-117586.87499999999</v>
      </c>
      <c r="T80" s="5">
        <f t="shared" si="6"/>
        <v>2.4274388665157871</v>
      </c>
      <c r="U80" s="5">
        <f t="shared" si="7"/>
        <v>0.5413260814092431</v>
      </c>
      <c r="V80" s="5">
        <f t="shared" si="8"/>
        <v>0</v>
      </c>
      <c r="W80" s="5">
        <f t="shared" si="9"/>
        <v>-0.19339541642663763</v>
      </c>
      <c r="X80" s="5">
        <f t="shared" si="10"/>
        <v>-0.18546566402010881</v>
      </c>
      <c r="Y80" s="5">
        <f t="shared" si="11"/>
        <v>5.0856323437500004</v>
      </c>
      <c r="Z80" s="5">
        <f t="shared" si="20"/>
        <v>7.6755362112282839</v>
      </c>
      <c r="AA80" s="5">
        <f t="shared" si="21"/>
        <v>-158.02397068976737</v>
      </c>
      <c r="AB80" s="5">
        <f t="shared" si="22"/>
        <v>0.65</v>
      </c>
      <c r="AC80" s="5">
        <f t="shared" si="23"/>
        <v>4.9890985372983847</v>
      </c>
      <c r="AD80" s="5">
        <f t="shared" si="12"/>
        <v>-102.71558094834879</v>
      </c>
    </row>
    <row r="81" spans="2:30" x14ac:dyDescent="0.3">
      <c r="B81" s="5">
        <f t="shared" si="24"/>
        <v>32</v>
      </c>
      <c r="C81" s="37">
        <f t="shared" si="31"/>
        <v>-2.4761718750000001E-3</v>
      </c>
      <c r="D81" s="37">
        <f t="shared" si="31"/>
        <v>-1.9177734375000002E-3</v>
      </c>
      <c r="E81" s="37">
        <f t="shared" si="31"/>
        <v>-1.3593750000000001E-3</v>
      </c>
      <c r="F81" s="37">
        <f t="shared" si="31"/>
        <v>-8.0097656250000026E-4</v>
      </c>
      <c r="G81" s="37">
        <f t="shared" si="31"/>
        <v>-2.425781250000002E-4</v>
      </c>
      <c r="H81" s="38">
        <f t="shared" si="26"/>
        <v>-4200</v>
      </c>
      <c r="I81" s="38">
        <f t="shared" si="27"/>
        <v>-3835.5468750000005</v>
      </c>
      <c r="J81" s="38">
        <f t="shared" si="28"/>
        <v>-2718.7500000000005</v>
      </c>
      <c r="K81" s="38">
        <f t="shared" si="29"/>
        <v>-1601.9531250000005</v>
      </c>
      <c r="L81" s="38">
        <f t="shared" si="30"/>
        <v>-485.1562500000004</v>
      </c>
      <c r="M81" s="11">
        <f t="shared" si="18"/>
        <v>27.2</v>
      </c>
      <c r="N81" s="38">
        <f t="shared" si="1"/>
        <v>-20377.24127190587</v>
      </c>
      <c r="O81" s="38">
        <f t="shared" si="2"/>
        <v>-9265.2650148631601</v>
      </c>
      <c r="P81" s="38">
        <f t="shared" si="3"/>
        <v>-6435.8183688870949</v>
      </c>
      <c r="Q81" s="38">
        <f t="shared" si="4"/>
        <v>-3606.371722911028</v>
      </c>
      <c r="R81" s="38">
        <f t="shared" si="5"/>
        <v>-2458.323004058956</v>
      </c>
      <c r="S81" s="38">
        <f t="shared" si="19"/>
        <v>-121380</v>
      </c>
      <c r="T81" s="5">
        <f t="shared" si="6"/>
        <v>2.4274388665157871</v>
      </c>
      <c r="U81" s="5">
        <f t="shared" si="7"/>
        <v>0.55186234744778706</v>
      </c>
      <c r="V81" s="5">
        <f t="shared" si="8"/>
        <v>0</v>
      </c>
      <c r="W81" s="5">
        <f t="shared" si="9"/>
        <v>-0.21480451574588799</v>
      </c>
      <c r="X81" s="5">
        <f t="shared" si="10"/>
        <v>-0.29284772785852309</v>
      </c>
      <c r="Y81" s="5">
        <f t="shared" si="11"/>
        <v>4.7338200000000006</v>
      </c>
      <c r="Z81" s="5">
        <f t="shared" si="20"/>
        <v>7.2054689703591643</v>
      </c>
      <c r="AA81" s="5">
        <f t="shared" si="21"/>
        <v>-163.5230193826261</v>
      </c>
      <c r="AB81" s="5">
        <f t="shared" si="22"/>
        <v>0.65</v>
      </c>
      <c r="AC81" s="5">
        <f t="shared" si="23"/>
        <v>4.6835548307334571</v>
      </c>
      <c r="AD81" s="5">
        <f t="shared" si="12"/>
        <v>-106.28996259870696</v>
      </c>
    </row>
    <row r="82" spans="2:30" x14ac:dyDescent="0.3">
      <c r="B82" s="5">
        <f t="shared" si="24"/>
        <v>33</v>
      </c>
      <c r="C82" s="37">
        <f t="shared" si="31"/>
        <v>-2.4920454545454547E-3</v>
      </c>
      <c r="D82" s="37">
        <f t="shared" si="31"/>
        <v>-1.9505681818181818E-3</v>
      </c>
      <c r="E82" s="37">
        <f t="shared" si="31"/>
        <v>-1.4090909090909091E-3</v>
      </c>
      <c r="F82" s="37">
        <f t="shared" si="31"/>
        <v>-8.6761363636363674E-4</v>
      </c>
      <c r="G82" s="37">
        <f t="shared" si="31"/>
        <v>-3.2613636363636384E-4</v>
      </c>
      <c r="H82" s="38">
        <f t="shared" si="26"/>
        <v>-4200</v>
      </c>
      <c r="I82" s="38">
        <f t="shared" si="27"/>
        <v>-3901.1363636363635</v>
      </c>
      <c r="J82" s="38">
        <f t="shared" si="28"/>
        <v>-2818.181818181818</v>
      </c>
      <c r="K82" s="38">
        <f t="shared" si="29"/>
        <v>-1735.2272727272734</v>
      </c>
      <c r="L82" s="38">
        <f t="shared" si="30"/>
        <v>-652.27272727272771</v>
      </c>
      <c r="M82" s="11">
        <f t="shared" si="18"/>
        <v>28.05</v>
      </c>
      <c r="N82" s="38">
        <f t="shared" si="1"/>
        <v>-20377.24127190587</v>
      </c>
      <c r="O82" s="38">
        <f t="shared" si="2"/>
        <v>-9431.4384370742882</v>
      </c>
      <c r="P82" s="38">
        <f t="shared" si="3"/>
        <v>-6687.7325985520429</v>
      </c>
      <c r="Q82" s="38">
        <f t="shared" si="4"/>
        <v>-3944.0267600297984</v>
      </c>
      <c r="R82" s="38">
        <f t="shared" si="5"/>
        <v>-3305.1146932041356</v>
      </c>
      <c r="S82" s="38">
        <f t="shared" si="19"/>
        <v>-125173.125</v>
      </c>
      <c r="T82" s="5">
        <f t="shared" si="6"/>
        <v>2.4274388665157871</v>
      </c>
      <c r="U82" s="5">
        <f t="shared" si="7"/>
        <v>0.56176005190823741</v>
      </c>
      <c r="V82" s="5">
        <f t="shared" si="8"/>
        <v>0</v>
      </c>
      <c r="W82" s="5">
        <f t="shared" si="9"/>
        <v>-0.23491609389427476</v>
      </c>
      <c r="X82" s="5">
        <f t="shared" si="10"/>
        <v>-0.39372178782794259</v>
      </c>
      <c r="Y82" s="5">
        <f t="shared" si="11"/>
        <v>4.3497660937499996</v>
      </c>
      <c r="Z82" s="5">
        <f t="shared" si="20"/>
        <v>6.7103271304518071</v>
      </c>
      <c r="AA82" s="5">
        <f t="shared" si="21"/>
        <v>-168.91867876076614</v>
      </c>
      <c r="AB82" s="5">
        <f t="shared" si="22"/>
        <v>0.65</v>
      </c>
      <c r="AC82" s="5">
        <f t="shared" si="23"/>
        <v>4.3617126347936743</v>
      </c>
      <c r="AD82" s="5">
        <f t="shared" si="12"/>
        <v>-109.797141194498</v>
      </c>
    </row>
    <row r="83" spans="2:30" x14ac:dyDescent="0.3">
      <c r="B83" s="5">
        <f t="shared" si="24"/>
        <v>34</v>
      </c>
      <c r="C83" s="37">
        <f t="shared" si="31"/>
        <v>-2.5069852941176471E-3</v>
      </c>
      <c r="D83" s="37">
        <f t="shared" si="31"/>
        <v>-1.9814338235294121E-3</v>
      </c>
      <c r="E83" s="37">
        <f t="shared" si="31"/>
        <v>-1.4558823529411766E-3</v>
      </c>
      <c r="F83" s="37">
        <f t="shared" si="31"/>
        <v>-9.3033088235294141E-4</v>
      </c>
      <c r="G83" s="37">
        <f t="shared" si="31"/>
        <v>-4.0477941176470612E-4</v>
      </c>
      <c r="H83" s="38">
        <f t="shared" si="26"/>
        <v>-4200</v>
      </c>
      <c r="I83" s="38">
        <f t="shared" si="27"/>
        <v>-3962.8676470588243</v>
      </c>
      <c r="J83" s="38">
        <f t="shared" si="28"/>
        <v>-2911.7647058823532</v>
      </c>
      <c r="K83" s="38">
        <f t="shared" si="29"/>
        <v>-1860.6617647058829</v>
      </c>
      <c r="L83" s="38">
        <f t="shared" si="30"/>
        <v>-809.55882352941228</v>
      </c>
      <c r="M83" s="11">
        <f t="shared" si="18"/>
        <v>28.9</v>
      </c>
      <c r="N83" s="38">
        <f t="shared" si="1"/>
        <v>-20377.24127190587</v>
      </c>
      <c r="O83" s="38">
        <f t="shared" si="2"/>
        <v>-9587.8369520965298</v>
      </c>
      <c r="P83" s="38">
        <f t="shared" si="3"/>
        <v>-6924.8283441190542</v>
      </c>
      <c r="Q83" s="38">
        <f t="shared" si="4"/>
        <v>-4261.8197361415805</v>
      </c>
      <c r="R83" s="38">
        <f t="shared" si="5"/>
        <v>-4102.0951065172458</v>
      </c>
      <c r="S83" s="38">
        <f t="shared" si="19"/>
        <v>-128966.24999999999</v>
      </c>
      <c r="T83" s="5">
        <f t="shared" si="6"/>
        <v>2.4274388665157871</v>
      </c>
      <c r="U83" s="5">
        <f t="shared" si="7"/>
        <v>0.57107553845924963</v>
      </c>
      <c r="V83" s="5">
        <f t="shared" si="8"/>
        <v>0</v>
      </c>
      <c r="W83" s="5">
        <f t="shared" si="9"/>
        <v>-0.25384463803393276</v>
      </c>
      <c r="X83" s="5">
        <f t="shared" si="10"/>
        <v>-0.48866207956386681</v>
      </c>
      <c r="Y83" s="5">
        <f t="shared" si="11"/>
        <v>3.9334706250000004</v>
      </c>
      <c r="Z83" s="5">
        <f t="shared" si="20"/>
        <v>6.1894783123772381</v>
      </c>
      <c r="AA83" s="5">
        <f t="shared" si="21"/>
        <v>-174.22007141078026</v>
      </c>
      <c r="AB83" s="5">
        <f t="shared" si="22"/>
        <v>0.65</v>
      </c>
      <c r="AC83" s="5">
        <f t="shared" si="23"/>
        <v>4.0231609030452047</v>
      </c>
      <c r="AD83" s="5">
        <f t="shared" si="12"/>
        <v>-113.24304641700718</v>
      </c>
    </row>
    <row r="84" spans="2:30" x14ac:dyDescent="0.3">
      <c r="B84" s="5">
        <f t="shared" si="24"/>
        <v>35</v>
      </c>
      <c r="C84" s="37">
        <f t="shared" si="31"/>
        <v>-2.5210714285714289E-3</v>
      </c>
      <c r="D84" s="37">
        <f t="shared" si="31"/>
        <v>-2.0105357142857147E-3</v>
      </c>
      <c r="E84" s="37">
        <f t="shared" si="31"/>
        <v>-1.5E-3</v>
      </c>
      <c r="F84" s="37">
        <f t="shared" si="31"/>
        <v>-9.8946428571428601E-4</v>
      </c>
      <c r="G84" s="37">
        <f t="shared" si="31"/>
        <v>-4.7892857142857161E-4</v>
      </c>
      <c r="H84" s="38">
        <f t="shared" si="26"/>
        <v>-4200</v>
      </c>
      <c r="I84" s="38">
        <f t="shared" si="27"/>
        <v>-4021.0714285714294</v>
      </c>
      <c r="J84" s="38">
        <f t="shared" si="28"/>
        <v>-3000</v>
      </c>
      <c r="K84" s="38">
        <f t="shared" si="29"/>
        <v>-1978.928571428572</v>
      </c>
      <c r="L84" s="38">
        <f t="shared" si="30"/>
        <v>-957.85714285714323</v>
      </c>
      <c r="M84" s="11">
        <f t="shared" si="18"/>
        <v>29.75</v>
      </c>
      <c r="N84" s="38">
        <f t="shared" si="1"/>
        <v>-20377.24127190587</v>
      </c>
      <c r="O84" s="38">
        <f t="shared" si="2"/>
        <v>-9735.2984091174985</v>
      </c>
      <c r="P84" s="38">
        <f t="shared" si="3"/>
        <v>-7148.37576136795</v>
      </c>
      <c r="Q84" s="38">
        <f t="shared" si="4"/>
        <v>-4561.453113618405</v>
      </c>
      <c r="R84" s="38">
        <f t="shared" si="5"/>
        <v>-3949.0609317377152</v>
      </c>
      <c r="S84" s="38">
        <f t="shared" si="19"/>
        <v>-132759.375</v>
      </c>
      <c r="T84" s="5">
        <f t="shared" si="6"/>
        <v>2.4274388665157871</v>
      </c>
      <c r="U84" s="5">
        <f t="shared" si="7"/>
        <v>0.57985871149306101</v>
      </c>
      <c r="V84" s="5">
        <f t="shared" si="8"/>
        <v>0</v>
      </c>
      <c r="W84" s="5">
        <f t="shared" si="9"/>
        <v>-0.27169155107989612</v>
      </c>
      <c r="X84" s="5">
        <f t="shared" si="10"/>
        <v>-0.47043188349325521</v>
      </c>
      <c r="Y84" s="5">
        <f t="shared" si="11"/>
        <v>3.4849335937500001</v>
      </c>
      <c r="Z84" s="5">
        <f t="shared" si="20"/>
        <v>5.7501077371856972</v>
      </c>
      <c r="AA84" s="5">
        <f t="shared" si="21"/>
        <v>-178.53080448774742</v>
      </c>
      <c r="AB84" s="5">
        <f>_xlfn.IFS(G84&gt;0.005,0.9,G84&lt;$C$13,0.65,G84&lt;&gt;0.005,(0.9-0.65)*(G84-$C$13)/(0.005-$C$13)+0.65,G84&lt;&gt;$C$13,(0.9-0.65)*(G84-$C$13)/(0.005-$C$13)+0.65)</f>
        <v>0.65</v>
      </c>
      <c r="AC84" s="5">
        <f t="shared" si="23"/>
        <v>3.7375700291707035</v>
      </c>
      <c r="AD84" s="5">
        <f t="shared" si="12"/>
        <v>-116.04502291703582</v>
      </c>
    </row>
    <row r="85" spans="2:30" x14ac:dyDescent="0.3">
      <c r="B85" s="5"/>
      <c r="Z85" s="11">
        <v>0</v>
      </c>
      <c r="AA85" s="11">
        <f>-(0.85*$C$4*(C8*C9-SUM(C35:G35))+SUM(C35:G35)*C6)/1000</f>
        <v>-227.50784445167054</v>
      </c>
      <c r="AB85" s="5">
        <v>0.65</v>
      </c>
      <c r="AC85" s="5">
        <f>Z85*AB85</f>
        <v>0</v>
      </c>
      <c r="AD85" s="5">
        <f>AA85*AB85</f>
        <v>-147.88009889358585</v>
      </c>
    </row>
  </sheetData>
  <mergeCells count="5">
    <mergeCell ref="AJ1:AM1"/>
    <mergeCell ref="AJ4:AM4"/>
    <mergeCell ref="K17:M17"/>
    <mergeCell ref="B1:T1"/>
    <mergeCell ref="N3:S3"/>
  </mergeCells>
  <phoneticPr fontId="4" type="noConversion"/>
  <dataValidations count="1">
    <dataValidation type="list" allowBlank="1" showInputMessage="1" showErrorMessage="1" sqref="O6 O10 O8 O12 R14 R6 R10 R8 R12 O14 L19" xr:uid="{969D5073-73B1-4DC1-9E06-7E7C57818FA6}">
      <formula1>$AJ$7:$AJ$16</formula1>
    </dataValidation>
  </dataValidations>
  <pageMargins left="0.7" right="0.7" top="0.75" bottom="0.75" header="0.3" footer="0.3"/>
  <pageSetup paperSize="9"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8A2EE-3C2F-41B1-A170-30B6238491DF}">
  <dimension ref="A1"/>
  <sheetViews>
    <sheetView topLeftCell="B142" zoomScale="115" zoomScaleNormal="115" workbookViewId="0">
      <selection activeCell="D152" sqref="D152"/>
    </sheetView>
  </sheetViews>
  <sheetFormatPr defaultColWidth="11.44140625" defaultRowHeight="14.4" x14ac:dyDescent="0.3"/>
  <cols>
    <col min="1" max="16384" width="11.44140625" style="1"/>
  </cols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DIAGRAM DE INTERACCIÓN 2</vt:lpstr>
      <vt:lpstr>DIAGRAM DE INTERACCIÓN 3</vt:lpstr>
      <vt:lpstr>DIAGRAM DE INTERACCIÓN 4</vt:lpstr>
      <vt:lpstr>DIAGRAM DE INTERACCIÓN 5</vt:lpstr>
      <vt:lpstr>TEORIA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DELL</cp:lastModifiedBy>
  <dcterms:created xsi:type="dcterms:W3CDTF">2021-05-11T23:19:38Z</dcterms:created>
  <dcterms:modified xsi:type="dcterms:W3CDTF">2024-04-22T13:18:12Z</dcterms:modified>
</cp:coreProperties>
</file>